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9045" windowHeight="871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<sst xmlns="http://schemas.openxmlformats.org/spreadsheetml/2006/main" count="1392" uniqueCount="599">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</sst>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5" t="s">
        <v>50</v>
      </c>
      <c r="B2" s="316"/>
      <c r="C2" s="316"/>
      <c r="D2" s="316"/>
      <c r="E2" s="316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7" t="s">
        <v>51</v>
      </c>
      <c r="D3" s="317"/>
      <c r="E3" s="317"/>
      <c r="F3" s="317"/>
      <c r="G3" s="317"/>
      <c r="H3" s="317"/>
      <c r="I3" s="317"/>
      <c r="J3" s="317"/>
      <c r="K3" s="317"/>
      <c r="L3" s="317"/>
      <c r="M3" s="299" t="s">
        <v>23</v>
      </c>
      <c r="N3" s="307"/>
      <c r="O3" s="308" t="s">
        <v>24</v>
      </c>
      <c r="P3" s="309"/>
      <c r="Q3" s="299" t="s">
        <v>5</v>
      </c>
      <c r="R3" s="299"/>
      <c r="S3" s="307"/>
      <c r="T3" s="310"/>
      <c r="U3" s="301" t="s">
        <v>26</v>
      </c>
      <c r="V3" s="302"/>
      <c r="W3" s="303" t="s">
        <v>25</v>
      </c>
    </row>
    <row r="4" spans="1:23" ht="12.75" customHeight="1">
      <c r="A4" s="307" t="s">
        <v>27</v>
      </c>
      <c r="B4" s="299" t="s">
        <v>28</v>
      </c>
      <c r="C4" s="299" t="s">
        <v>29</v>
      </c>
      <c r="D4" s="299" t="s">
        <v>30</v>
      </c>
      <c r="E4" s="299" t="s">
        <v>31</v>
      </c>
      <c r="F4" s="299" t="s">
        <v>32</v>
      </c>
      <c r="G4" s="299" t="s">
        <v>33</v>
      </c>
      <c r="H4" s="311" t="s">
        <v>52</v>
      </c>
      <c r="I4" s="299" t="s">
        <v>34</v>
      </c>
      <c r="J4" s="310"/>
      <c r="K4" s="299" t="s">
        <v>35</v>
      </c>
      <c r="L4" s="299" t="s">
        <v>36</v>
      </c>
      <c r="M4" s="299" t="s">
        <v>35</v>
      </c>
      <c r="N4" s="299" t="s">
        <v>37</v>
      </c>
      <c r="O4" s="299" t="s">
        <v>35</v>
      </c>
      <c r="P4" s="299" t="s">
        <v>37</v>
      </c>
      <c r="Q4" s="299" t="s">
        <v>38</v>
      </c>
      <c r="R4" s="299" t="s">
        <v>39</v>
      </c>
      <c r="S4" s="299" t="s">
        <v>36</v>
      </c>
      <c r="T4" s="299" t="s">
        <v>39</v>
      </c>
      <c r="U4" s="311" t="s">
        <v>36</v>
      </c>
      <c r="V4" s="299" t="s">
        <v>39</v>
      </c>
      <c r="W4" s="304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6"/>
      <c r="R5" s="306"/>
      <c r="S5" s="310"/>
      <c r="T5" s="306"/>
      <c r="U5" s="312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0" t="s">
        <v>210</v>
      </c>
      <c r="B1" s="320"/>
      <c r="C1" s="320"/>
      <c r="D1" s="320"/>
      <c r="E1" s="320"/>
      <c r="F1" s="320"/>
      <c r="G1" s="32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1" t="e">
        <f>#REF!</f>
        <v>#REF!</v>
      </c>
      <c r="C2" s="322"/>
      <c r="D2" s="32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8">
        <f>+$B$6*$F$7/$C$7</f>
        <v>111000</v>
      </c>
      <c r="C8" s="318"/>
      <c r="D8" s="31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8" t="e">
        <f>+ ROUND((B11-B19)*F10/C10,0)</f>
        <v>#REF!</v>
      </c>
      <c r="C12" s="318"/>
      <c r="D12" s="31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9" t="s">
        <v>212</v>
      </c>
      <c r="C13" s="319"/>
      <c r="D13" s="31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8">
        <f>+IF($E$13=1,ROUNDDOWN($B$8*$F$10/$C$10,0),IF(MROUND($B$8*$F$10/$C$10,10)-($B$8*$F$10/$C$10)&gt;0,MROUND($B$8*$F$10/$C$10,10)-10,MROUND($B$8*$F$10/$C$10,10)))</f>
        <v>55500</v>
      </c>
      <c r="C14" s="318"/>
      <c r="D14" s="31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8">
        <f>ROUNDDOWN($B$8*$F$10/$C$10,0)-B14</f>
        <v>0</v>
      </c>
      <c r="C15" s="318"/>
      <c r="D15" s="31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9" t="s">
        <v>223</v>
      </c>
      <c r="C16" s="319"/>
      <c r="D16" s="31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8">
        <f>+IF($E$16=1,B17*B15,0)</f>
        <v>0</v>
      </c>
      <c r="C18" s="318"/>
      <c r="D18" s="31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8">
        <f>+B19*B14</f>
        <v>555000000</v>
      </c>
      <c r="C20" s="318"/>
      <c r="D20" s="31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C21" zoomScale="87" zoomScaleNormal="87" zoomScaleSheetLayoutView="87" workbookViewId="0">
      <selection activeCell="F41" sqref="F41:G41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9" t="s">
        <v>570</v>
      </c>
      <c r="C18" s="369"/>
      <c r="D18" s="369"/>
      <c r="E18" s="161" t="str">
        <f>"Từ ngày "&amp;TEXT(H18,"dd/mm/yyyy")&amp;" đến "&amp;TEXT(H19,"dd/mm/yyyy")</f>
        <v>Từ ngày 24/02/2025 đến 02/03/2025</v>
      </c>
      <c r="H18" s="176">
        <v>45712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24/02/2025 to 02/03/2025</v>
      </c>
      <c r="H19" s="176">
        <f>H18+6</f>
        <v>45718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45719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9">
        <f>E20</f>
        <v>45719</v>
      </c>
      <c r="F21" s="359"/>
      <c r="G21" s="359"/>
      <c r="H21" s="359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1" t="s">
        <v>531</v>
      </c>
      <c r="C23" s="352"/>
      <c r="D23" s="351" t="s">
        <v>541</v>
      </c>
      <c r="E23" s="352"/>
      <c r="F23" s="266" t="s">
        <v>542</v>
      </c>
      <c r="G23" s="266" t="s">
        <v>542</v>
      </c>
      <c r="I23" s="179"/>
      <c r="L23" s="184"/>
    </row>
    <row r="24" spans="2:12" ht="15.75" customHeight="1">
      <c r="B24" s="353" t="s">
        <v>27</v>
      </c>
      <c r="C24" s="354"/>
      <c r="D24" s="355" t="s">
        <v>330</v>
      </c>
      <c r="E24" s="356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45718</v>
      </c>
      <c r="G25" s="188">
        <f>H18-1</f>
        <v>45711</v>
      </c>
      <c r="H25" s="189"/>
      <c r="I25" s="179"/>
      <c r="L25" s="184"/>
    </row>
    <row r="26" spans="2:12" ht="15.75" customHeight="1">
      <c r="B26" s="345" t="s">
        <v>572</v>
      </c>
      <c r="C26" s="346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3">
        <v>1</v>
      </c>
      <c r="C28" s="344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57">
        <v>1.1000000000000001</v>
      </c>
      <c r="C30" s="358"/>
      <c r="D30" s="203" t="s">
        <v>584</v>
      </c>
      <c r="E30" s="204"/>
      <c r="F30" s="163">
        <f>G34</f>
        <v>93611285645</v>
      </c>
      <c r="G30" s="163">
        <v>92292230533</v>
      </c>
      <c r="H30" s="205"/>
      <c r="I30" s="206"/>
      <c r="J30" s="205"/>
      <c r="K30" s="205"/>
      <c r="L30" s="184"/>
    </row>
    <row r="31" spans="2:12" ht="15.75" customHeight="1">
      <c r="B31" s="340">
        <v>1.2</v>
      </c>
      <c r="C31" s="341"/>
      <c r="D31" s="207" t="s">
        <v>585</v>
      </c>
      <c r="E31" s="208"/>
      <c r="F31" s="246">
        <f>G35</f>
        <v>12900.45</v>
      </c>
      <c r="G31" s="246">
        <v>12793.21</v>
      </c>
      <c r="H31" s="205"/>
      <c r="I31" s="206"/>
      <c r="J31" s="205"/>
      <c r="K31" s="205"/>
      <c r="L31" s="184"/>
    </row>
    <row r="32" spans="2:12" ht="15.75" customHeight="1">
      <c r="B32" s="343">
        <v>2</v>
      </c>
      <c r="C32" s="344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57">
        <v>2.1</v>
      </c>
      <c r="C34" s="358"/>
      <c r="D34" s="203" t="s">
        <v>586</v>
      </c>
      <c r="E34" s="204"/>
      <c r="F34" s="248">
        <v>94293760754</v>
      </c>
      <c r="G34" s="163">
        <v>93611285645</v>
      </c>
      <c r="H34" s="205"/>
      <c r="I34" s="206"/>
      <c r="J34" s="205"/>
      <c r="K34" s="205"/>
      <c r="L34" s="210"/>
    </row>
    <row r="35" spans="2:12" ht="15.75" customHeight="1">
      <c r="B35" s="340">
        <v>2.2000000000000002</v>
      </c>
      <c r="C35" s="341"/>
      <c r="D35" s="211" t="s">
        <v>587</v>
      </c>
      <c r="E35" s="202"/>
      <c r="F35" s="297">
        <v>12969.39</v>
      </c>
      <c r="G35" s="246">
        <v>12900.45</v>
      </c>
      <c r="H35" s="205"/>
      <c r="I35" s="206"/>
      <c r="J35" s="205"/>
      <c r="K35" s="205"/>
    </row>
    <row r="36" spans="2:12" ht="15.75" customHeight="1">
      <c r="B36" s="360">
        <v>3</v>
      </c>
      <c r="C36" s="361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682475109</v>
      </c>
      <c r="G37" s="275">
        <f>G34-G30</f>
        <v>1319055112</v>
      </c>
      <c r="H37" s="205"/>
      <c r="I37" s="206"/>
      <c r="J37" s="205"/>
      <c r="K37" s="205"/>
    </row>
    <row r="38" spans="2:12" ht="15.75" customHeight="1">
      <c r="B38" s="362">
        <v>3.1</v>
      </c>
      <c r="C38" s="363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500026001</v>
      </c>
      <c r="G39" s="275">
        <f>G37-G41</f>
        <v>776480390</v>
      </c>
      <c r="H39" s="205"/>
      <c r="I39" s="206"/>
      <c r="J39" s="205"/>
      <c r="K39" s="205"/>
    </row>
    <row r="40" spans="2:12" ht="15.75" customHeight="1">
      <c r="B40" s="338">
        <v>3.2</v>
      </c>
      <c r="C40" s="339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182449108</v>
      </c>
      <c r="G41" s="275">
        <v>542574722</v>
      </c>
      <c r="H41" s="205"/>
      <c r="I41" s="206"/>
      <c r="J41" s="205"/>
      <c r="K41" s="205"/>
    </row>
    <row r="42" spans="2:12" ht="15.75" customHeight="1">
      <c r="B42" s="338">
        <v>3.3</v>
      </c>
      <c r="C42" s="339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60">
        <v>4</v>
      </c>
      <c r="C44" s="364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5.3439996279198709E-3</v>
      </c>
      <c r="G45" s="253">
        <f>G35/G31-1</f>
        <v>8.3825716923275895E-3</v>
      </c>
      <c r="H45" s="205"/>
      <c r="I45" s="206"/>
      <c r="J45" s="205"/>
      <c r="K45" s="205"/>
    </row>
    <row r="46" spans="2:12" ht="15.75" customHeight="1">
      <c r="B46" s="360">
        <v>5</v>
      </c>
      <c r="C46" s="364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65">
        <v>5.0999999999999996</v>
      </c>
      <c r="C48" s="366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65">
        <v>5.2</v>
      </c>
      <c r="C49" s="366"/>
      <c r="D49" s="231" t="s">
        <v>589</v>
      </c>
      <c r="E49" s="232"/>
      <c r="F49" s="298">
        <v>12090.3</v>
      </c>
      <c r="G49" s="264">
        <v>12090.3</v>
      </c>
      <c r="H49" s="205"/>
      <c r="I49" s="206"/>
      <c r="J49" s="205"/>
      <c r="K49" s="205"/>
    </row>
    <row r="50" spans="2:11" ht="15.75" customHeight="1">
      <c r="B50" s="367">
        <v>6</v>
      </c>
      <c r="C50" s="368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65">
        <v>6.1</v>
      </c>
      <c r="C51" s="366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65">
        <v>6.2</v>
      </c>
      <c r="C52" s="366"/>
      <c r="D52" s="203" t="s">
        <v>591</v>
      </c>
      <c r="E52" s="230"/>
      <c r="F52" s="264">
        <f>F51*F35</f>
        <v>116190430.51979999</v>
      </c>
      <c r="G52" s="264">
        <f>G51*G35</f>
        <v>115572809.469</v>
      </c>
      <c r="H52" s="205"/>
      <c r="I52" s="206"/>
      <c r="J52" s="205"/>
      <c r="K52" s="205"/>
    </row>
    <row r="53" spans="2:11" ht="15.75" customHeight="1">
      <c r="B53" s="365">
        <v>6.2</v>
      </c>
      <c r="C53" s="366">
        <v>6.3</v>
      </c>
      <c r="D53" s="230" t="s">
        <v>579</v>
      </c>
      <c r="E53" s="230"/>
      <c r="F53" s="279">
        <f>F52/F34</f>
        <v>1.2322175888490176E-3</v>
      </c>
      <c r="G53" s="279">
        <f>G52/G34</f>
        <v>1.2346033779226599E-3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34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36"/>
      <c r="G65" s="336"/>
    </row>
    <row r="66" spans="2:12" s="282" customFormat="1" ht="15.75">
      <c r="B66" s="280" t="s">
        <v>595</v>
      </c>
      <c r="C66" s="280"/>
      <c r="D66" s="280"/>
      <c r="E66" s="280"/>
      <c r="F66" s="342" t="s">
        <v>596</v>
      </c>
      <c r="G66" s="342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37"/>
      <c r="G69" s="337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glpSoDIS5ZI4JWDxV1xbAaTgWi9icEIxGVZOxOVQKvQ=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XYkth8BueklABwvFFxgu7+zgne4f9XkWiyCkyYY4ro4=</DigestValue>
    </Reference>
  </SignedInfo>
  <SignatureValue>kCydU4QpZnTtDNuAV/B1HVGJos/AWoH4C0pjyYLJ5oK4Kw0n+nFs2dHcDEt4zm+f/2xhLeAs4d1T
bG0V67kTEd5Ta+MsSjeoRpmJOmAZQ+EQ7AS2OMj8EIdef2/1ihUrzzaKQCL8PvD4y57gXDjsGqFW
3n4xO0PgB4CewuzEC0akmlkWAshhEkfxDbh0BmEvMKvTs29BO4Cf4oBpsI8+bsDo4qO0jMEY/3PX
2xCTNeAuaceSR91/EnkUAhWtcVX7O6qcPM2MEeZBvLo0frs6lKgBct3/IhKvdaJR1OTgXa8yuA7l
zHq1vZUNGjUJCceN/La8PxuyLhHCxs7RJvS6Ag==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bcxnj7uQClfA1YlBZV7Pd+lMrzVBaErW9KRB9KWBRug=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3QNKhkkPF55Uesmm4uKEkjfNFNuBRPdIsyNHXT5MBg8=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2025-03-03T07:01:30Z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2025-03-03T07:01:30Z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9xfz0H8LUvvjIceLHD7znTOC7/2onUvbRtQSX5b83kM=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Qpi0bl3gI6mcOS9IrS4erKTSJQqAbeII9ycu/4jjVqE=</DigestValue>
    </Reference>
  </SignedInfo>
  <SignatureValue>S4SMVWz2ilS4fJrbXaU7yVTyw9S6aeTTGjaTbRF7AMyz13J/GvSTUn5cMXg2KPoGNywwgxaOU+aJ
vconmfzOoTEiq9zMwzNNctyV3mX4GThf0oMhMFvWlBfF1TO2o/UNkYaBvd1S3T0gQKdQ/I7cMWNt
lp7vlxdggH2P/F92iiRe11/STcBLaBK96NJfWH+DpaMnxqDtJvbNNRO91pB8p+Ufke5tmRfm/iHw
BZByA7EaGsFaBDHe0lyj55ZzywCI85krw3yBMtfuPp43dKUHYevEcCjyclURT7KSSVoP/gEQFXgI
8ROl9uC24bupeDClUF4U3bKLlaaG2Sc8jGNZ9g==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bcxnj7uQClfA1YlBZV7Pd+lMrzVBaErW9KRB9KWBRug=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3QNKhkkPF55Uesmm4uKEkjfNFNuBRPdIsyNHXT5MBg8=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2025-03-03T11:11:19Z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2025-03-03T11:11:19Z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2025-03-03T01:52:55Z</dcterms:modified>
</cp:coreProperties>
</file>