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Tong Quat" sheetId="1" r:id="rId1"/>
    <sheet name="BCTaiSan_06116" sheetId="2" r:id="rId2"/>
    <sheet name="BCKetQuaHoatDong_06117" sheetId="3" r:id="rId3"/>
    <sheet name="BCDanhMucDauTu_06118" sheetId="4" r:id="rId4"/>
    <sheet name="BCHoatDongVay_06119" sheetId="5" r:id="rId5"/>
    <sheet name="Khac_06120" sheetId="6" r:id="rId6"/>
    <sheet name="TKGD_BDS_06200" sheetId="7" r:id="rId7"/>
    <sheet name="HanMucTuDoanh_DTGTNN" sheetId="8" r:id="rId8"/>
    <sheet name="BCTaiSan_DTGTNN" sheetId="9" r:id="rId9"/>
    <sheet name="KetQuaHoatDong_DTGTNN" sheetId="10" r:id="rId10"/>
    <sheet name="DanhMucTaiSan_DTGTNN" sheetId="11" r:id="rId11"/>
    <sheet name="SheetHidden" sheetId="12" state="hidden" r:id="rId12"/>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A12" authorId="0">
      <text>
        <r>
          <rPr>
            <sz val="10"/>
            <rFont val="Arial"/>
            <family val="0"/>
          </rPr>
          <t>Ô chỉ tiêu có định dạng ký tự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G12" authorId="0">
      <text>
        <r>
          <rPr>
            <sz val="10"/>
            <rFont val="Arial"/>
            <family val="0"/>
          </rPr>
          <t>Ô chỉ tiêu có định dạng số. Đơn vị tính x 1 (hoặc %)
Dữ liệu động đầu vào hợp lệ khi chỉ được thêm dòng trên ô này.</t>
        </r>
      </text>
    </comment>
    <comment ref="H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G13" authorId="0">
      <text>
        <r>
          <rPr>
            <sz val="10"/>
            <rFont val="Arial"/>
            <family val="0"/>
          </rPr>
          <t>Ô chỉ tiêu có định dạng số. Đơn vị tính x 1 (hoặc %)</t>
        </r>
      </text>
    </comment>
    <comment ref="H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I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I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I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I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I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I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 ref="I21" authorId="0">
      <text>
        <r>
          <rPr>
            <sz val="10"/>
            <rFont val="Arial"/>
            <family val="0"/>
          </rPr>
          <t>Ô chỉ tiêu có định dạng số. Đơn vị tính x 1 (hoặc %)</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F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G2" authorId="0">
      <text>
        <r>
          <rPr>
            <sz val="10"/>
            <rFont val="Arial"/>
            <family val="0"/>
          </rPr>
          <t>Ô chỉ tiêu có định dạng số. Đơn vị tính x 1 (hoặc %)</t>
        </r>
      </text>
    </comment>
    <comment ref="A4" authorId="0">
      <text>
        <r>
          <rPr>
            <sz val="10"/>
            <rFont val="Arial"/>
            <family val="0"/>
          </rPr>
          <t>Ô chỉ tiêu có định dạng số. Đơn vị tính x 1 (hoặc %)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số. Đơn vị tính x 1 (hoặc %)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2" authorId="0">
      <text>
        <r>
          <rPr>
            <sz val="10"/>
            <rFont val="Arial"/>
            <family val="0"/>
          </rPr>
          <t>Ô chỉ tiêu có định dạng số. Đơn vị tính x 1 (hoặc %)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F23" authorId="0">
      <text>
        <r>
          <rPr>
            <sz val="10"/>
            <rFont val="Arial"/>
            <family val="0"/>
          </rPr>
          <t>Ô chỉ tiêu có định dạng số. Đơn vị tính x 1 (hoặc %)</t>
        </r>
      </text>
    </comment>
    <comment ref="G23" authorId="0">
      <text>
        <r>
          <rPr>
            <sz val="10"/>
            <rFont val="Arial"/>
            <family val="0"/>
          </rPr>
          <t>Ô chỉ tiêu có định dạng số. Đơn vị tính x 1 (hoặc %)</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G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G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G29"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41" authorId="0">
      <text>
        <r>
          <rPr>
            <sz val="10"/>
            <rFont val="Arial"/>
            <family val="0"/>
          </rPr>
          <t>Ô chỉ tiêu có định dạng số. Đơn vị tính x 1 (hoặc %)
Dữ liệu động đầu vào hợp lệ khi chỉ được thêm dòng trên ô này.</t>
        </r>
      </text>
    </comment>
    <comment ref="B41" authorId="0">
      <text>
        <r>
          <rPr>
            <sz val="10"/>
            <rFont val="Arial"/>
            <family val="0"/>
          </rPr>
          <t>Ô chỉ tiêu có định dạng ký tự
Dữ liệu động đầu vào hợp lệ khi chỉ được thêm dòng trên ô này.</t>
        </r>
      </text>
    </comment>
    <comment ref="C41"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
Dữ liệu động đầu vào hợp lệ khi chỉ được thêm dòng trên ô này.</t>
        </r>
      </text>
    </comment>
    <comment ref="E41" authorId="0">
      <text>
        <r>
          <rPr>
            <sz val="10"/>
            <rFont val="Arial"/>
            <family val="0"/>
          </rPr>
          <t>Ô chỉ tiêu có định dạng số. Đơn vị tính x 1 (hoặc %)
Dữ liệu động đầu vào hợp lệ khi chỉ được thêm dòng trên ô này.</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A46" authorId="0">
      <text>
        <r>
          <rPr>
            <sz val="10"/>
            <rFont val="Arial"/>
            <family val="0"/>
          </rPr>
          <t>Ô chỉ tiêu có định dạng ký tự
Dữ liệu động đầu vào hợp lệ khi chỉ được thêm dòng trên ô này.</t>
        </r>
      </text>
    </comment>
    <comment ref="B46" authorId="0">
      <text>
        <r>
          <rPr>
            <sz val="10"/>
            <rFont val="Arial"/>
            <family val="0"/>
          </rPr>
          <t>Ô chỉ tiêu có định dạng ký tự
Dữ liệu động đầu vào hợp lệ khi chỉ được thêm dòng trên ô này.</t>
        </r>
      </text>
    </comment>
    <comment ref="C46" authorId="0">
      <text>
        <r>
          <rPr>
            <sz val="10"/>
            <rFont val="Arial"/>
            <family val="0"/>
          </rPr>
          <t>Ô chỉ tiêu có định dạng ký tự
Dữ liệu động đầu vào hợp lệ khi chỉ được thêm dòng trên ô này.</t>
        </r>
      </text>
    </comment>
    <comment ref="D46" authorId="0">
      <text>
        <r>
          <rPr>
            <sz val="10"/>
            <rFont val="Arial"/>
            <family val="0"/>
          </rPr>
          <t>Ô chỉ tiêu có định dạng số. Đơn vị tính x 1 (hoặc %)
Dữ liệu động đầu vào hợp lệ khi chỉ được thêm dòng trên ô này.</t>
        </r>
      </text>
    </comment>
    <comment ref="E46" authorId="0">
      <text>
        <r>
          <rPr>
            <sz val="10"/>
            <rFont val="Arial"/>
            <family val="0"/>
          </rPr>
          <t>Ô chỉ tiêu có định dạng số. Đơn vị tính x 1 (hoặc %)
Dữ liệu động đầu vào hợp lệ khi chỉ được thêm dòng trên ô này.</t>
        </r>
      </text>
    </comment>
    <comment ref="A47" authorId="0">
      <text>
        <r>
          <rPr>
            <sz val="10"/>
            <rFont val="Arial"/>
            <family val="0"/>
          </rPr>
          <t>Ô chỉ tiêu có định dạng số. Đơn vị tính x 1 (hoặc %)
Dữ liệu động đầu vào hợp lệ khi chỉ được thêm dòng trên ô này.</t>
        </r>
      </text>
    </comment>
    <comment ref="B47" authorId="0">
      <text>
        <r>
          <rPr>
            <sz val="10"/>
            <rFont val="Arial"/>
            <family val="0"/>
          </rPr>
          <t>Ô chỉ tiêu có định dạng ký tự
Dữ liệu động đầu vào hợp lệ khi chỉ được thêm dòng trên ô này.</t>
        </r>
      </text>
    </comment>
    <comment ref="C47" authorId="0">
      <text>
        <r>
          <rPr>
            <sz val="10"/>
            <rFont val="Arial"/>
            <family val="0"/>
          </rPr>
          <t>Ô chỉ tiêu có định dạng số. Đơn vị tính x 1 (hoặc %)
Dữ liệu động đầu vào hợp lệ khi chỉ được thêm dòng trên ô này.</t>
        </r>
      </text>
    </comment>
    <comment ref="D47" authorId="0">
      <text>
        <r>
          <rPr>
            <sz val="10"/>
            <rFont val="Arial"/>
            <family val="0"/>
          </rPr>
          <t>Ô chỉ tiêu có định dạng số. Đơn vị tính x 1 (hoặc %)
Dữ liệu động đầu vào hợp lệ khi chỉ được thêm dòng trên ô này.</t>
        </r>
      </text>
    </comment>
    <comment ref="E47" authorId="0">
      <text>
        <r>
          <rPr>
            <sz val="10"/>
            <rFont val="Arial"/>
            <family val="0"/>
          </rPr>
          <t>Ô chỉ tiêu có định dạng số. Đơn vị tính x 1 (hoặc %)
Dữ liệu động đầu vào hợp lệ khi chỉ được thêm dòng trên ô này.</t>
        </r>
      </text>
    </comment>
    <comment ref="F47"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F46"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5.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ký tự</t>
        </r>
      </text>
    </comment>
    <comment ref="I3" authorId="0">
      <text>
        <r>
          <rPr>
            <sz val="10"/>
            <rFont val="Arial"/>
            <family val="0"/>
          </rPr>
          <t>Ô chỉ tiêu có định dạng số. Đơn vị tính x 1 (hoặc %)</t>
        </r>
      </text>
    </comment>
    <comment ref="J3" authorId="0">
      <text>
        <r>
          <rPr>
            <sz val="10"/>
            <rFont val="Arial"/>
            <family val="0"/>
          </rPr>
          <t>Ô chỉ tiêu có định dạng ký tự</t>
        </r>
      </text>
    </comment>
    <comment ref="K3" authorId="0">
      <text>
        <r>
          <rPr>
            <sz val="10"/>
            <rFont val="Arial"/>
            <family val="0"/>
          </rPr>
          <t>Ô chỉ tiêu có định dạng số. Đơn vị tính x 1 (hoặc %)</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ký tự
Dữ liệu động đầu vào hợp lệ khi chỉ được thêm dòng trên ô này.</t>
        </r>
      </text>
    </comment>
    <comment ref="I5" authorId="0">
      <text>
        <r>
          <rPr>
            <sz val="10"/>
            <rFont val="Arial"/>
            <family val="0"/>
          </rPr>
          <t>Ô chỉ tiêu có định dạng số. Đơn vị tính x 1 (hoặc %)
Dữ liệu động đầu vào hợp lệ khi chỉ được thêm dòng trên ô này.</t>
        </r>
      </text>
    </comment>
    <comment ref="J5" authorId="0">
      <text>
        <r>
          <rPr>
            <sz val="10"/>
            <rFont val="Arial"/>
            <family val="0"/>
          </rPr>
          <t>Ô chỉ tiêu có định dạng ký tự
Dữ liệu động đầu vào hợp lệ khi chỉ được thêm dòng trên ô này.</t>
        </r>
      </text>
    </comment>
    <comment ref="K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ký tự</t>
        </r>
      </text>
    </comment>
    <comment ref="I6" authorId="0">
      <text>
        <r>
          <rPr>
            <sz val="10"/>
            <rFont val="Arial"/>
            <family val="0"/>
          </rPr>
          <t>Ô chỉ tiêu có định dạng số. Đơn vị tính x 1 (hoặc %)</t>
        </r>
      </text>
    </comment>
    <comment ref="J6" authorId="0">
      <text>
        <r>
          <rPr>
            <sz val="10"/>
            <rFont val="Arial"/>
            <family val="0"/>
          </rPr>
          <t>Ô chỉ tiêu có định dạng ký tự</t>
        </r>
      </text>
    </comment>
    <comment ref="K6" authorId="0">
      <text>
        <r>
          <rPr>
            <sz val="10"/>
            <rFont val="Arial"/>
            <family val="0"/>
          </rPr>
          <t>Ô chỉ tiêu có định dạng số. Đơn vị tính x 1 (hoặc %)</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ký tự</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ký tự</t>
        </r>
      </text>
    </comment>
    <comment ref="I7" authorId="0">
      <text>
        <r>
          <rPr>
            <sz val="10"/>
            <rFont val="Arial"/>
            <family val="0"/>
          </rPr>
          <t>Ô chỉ tiêu có định dạng ký tự</t>
        </r>
      </text>
    </comment>
    <comment ref="J7" authorId="0">
      <text>
        <r>
          <rPr>
            <sz val="10"/>
            <rFont val="Arial"/>
            <family val="0"/>
          </rPr>
          <t>Ô chỉ tiêu có định dạng ký tự</t>
        </r>
      </text>
    </comment>
    <comment ref="K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ký tự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ký tự
Dữ liệu động đầu vào hợp lệ khi chỉ được thêm dòng trên ô này.</t>
        </r>
      </text>
    </comment>
    <comment ref="I9" authorId="0">
      <text>
        <r>
          <rPr>
            <sz val="10"/>
            <rFont val="Arial"/>
            <family val="0"/>
          </rPr>
          <t>Ô chỉ tiêu có định dạng số. Đơn vị tính x 1 (hoặc %)
Dữ liệu động đầu vào hợp lệ khi chỉ được thêm dòng trên ô này.</t>
        </r>
      </text>
    </comment>
    <comment ref="J9" authorId="0">
      <text>
        <r>
          <rPr>
            <sz val="10"/>
            <rFont val="Arial"/>
            <family val="0"/>
          </rPr>
          <t>Ô chỉ tiêu có định dạng ký tự
Dữ liệu động đầu vào hợp lệ khi chỉ được thêm dòng trên ô này.</t>
        </r>
      </text>
    </comment>
    <comment ref="K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ký tự</t>
        </r>
      </text>
    </comment>
    <comment ref="I10" authorId="0">
      <text>
        <r>
          <rPr>
            <sz val="10"/>
            <rFont val="Arial"/>
            <family val="0"/>
          </rPr>
          <t>Ô chỉ tiêu có định dạng số. Đơn vị tính x 1 (hoặc %)</t>
        </r>
      </text>
    </comment>
    <comment ref="J10" authorId="0">
      <text>
        <r>
          <rPr>
            <sz val="10"/>
            <rFont val="Arial"/>
            <family val="0"/>
          </rPr>
          <t>Ô chỉ tiêu có định dạng ký tự</t>
        </r>
      </text>
    </comment>
    <comment ref="K10" authorId="0">
      <text>
        <r>
          <rPr>
            <sz val="10"/>
            <rFont val="Arial"/>
            <family val="0"/>
          </rPr>
          <t>Ô chỉ tiêu có định dạng số. Đơn vị tính x 1 (hoặc %)</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ký tự</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ký tự</t>
        </r>
      </text>
    </comment>
    <comment ref="I11" authorId="0">
      <text>
        <r>
          <rPr>
            <sz val="10"/>
            <rFont val="Arial"/>
            <family val="0"/>
          </rPr>
          <t>Ô chỉ tiêu có định dạng số. Đơn vị tính x 1 (hoặc %)</t>
        </r>
      </text>
    </comment>
    <comment ref="J11" authorId="0">
      <text>
        <r>
          <rPr>
            <sz val="10"/>
            <rFont val="Arial"/>
            <family val="0"/>
          </rPr>
          <t>Ô chỉ tiêu có định dạng ký tự</t>
        </r>
      </text>
    </comment>
    <comment ref="K11" authorId="0">
      <text>
        <r>
          <rPr>
            <sz val="10"/>
            <rFont val="Arial"/>
            <family val="0"/>
          </rPr>
          <t>Ô chỉ tiêu có định dạng số. Đơn vị tính x 1 (hoặc %)</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ký tự</t>
        </r>
      </text>
    </comment>
    <comment ref="I12" authorId="0">
      <text>
        <r>
          <rPr>
            <sz val="10"/>
            <rFont val="Arial"/>
            <family val="0"/>
          </rPr>
          <t>Ô chỉ tiêu có định dạng số. Đơn vị tính x 1 (hoặc %)</t>
        </r>
      </text>
    </comment>
    <comment ref="J12" authorId="0">
      <text>
        <r>
          <rPr>
            <sz val="10"/>
            <rFont val="Arial"/>
            <family val="0"/>
          </rPr>
          <t>Ô chỉ tiêu có định dạng ký tự</t>
        </r>
      </text>
    </comment>
    <comment ref="K12" authorId="0">
      <text>
        <r>
          <rPr>
            <sz val="10"/>
            <rFont val="Arial"/>
            <family val="0"/>
          </rPr>
          <t>Ô chỉ tiêu có định dạng số. Đơn vị tính x 1 (hoặc %)</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ký tự
Dữ liệu động đầu vào hợp lệ khi chỉ được thêm dòng trên ô này.</t>
        </r>
      </text>
    </comment>
    <comment ref="I14" authorId="0">
      <text>
        <r>
          <rPr>
            <sz val="10"/>
            <rFont val="Arial"/>
            <family val="0"/>
          </rPr>
          <t>Ô chỉ tiêu có định dạng số. Đơn vị tính x 1 (hoặc %)
Dữ liệu động đầu vào hợp lệ khi chỉ được thêm dòng trên ô này.</t>
        </r>
      </text>
    </comment>
    <comment ref="J14" authorId="0">
      <text>
        <r>
          <rPr>
            <sz val="10"/>
            <rFont val="Arial"/>
            <family val="0"/>
          </rPr>
          <t>Ô chỉ tiêu có định dạng ký tự
Dữ liệu động đầu vào hợp lệ khi chỉ được thêm dòng trên ô này.</t>
        </r>
      </text>
    </comment>
    <comment ref="K14"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ký tự</t>
        </r>
      </text>
    </comment>
    <comment ref="I15" authorId="0">
      <text>
        <r>
          <rPr>
            <sz val="10"/>
            <rFont val="Arial"/>
            <family val="0"/>
          </rPr>
          <t>Ô chỉ tiêu có định dạng số. Đơn vị tính x 1 (hoặc %)</t>
        </r>
      </text>
    </comment>
    <comment ref="J15" authorId="0">
      <text>
        <r>
          <rPr>
            <sz val="10"/>
            <rFont val="Arial"/>
            <family val="0"/>
          </rPr>
          <t>Ô chỉ tiêu có định dạng ký tự</t>
        </r>
      </text>
    </comment>
    <comment ref="K15" authorId="0">
      <text>
        <r>
          <rPr>
            <sz val="10"/>
            <rFont val="Arial"/>
            <family val="0"/>
          </rPr>
          <t>Ô chỉ tiêu có định dạng số. Đơn vị tính x 1 (hoặc %)</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ký tự</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ký tự</t>
        </r>
      </text>
    </comment>
    <comment ref="I16" authorId="0">
      <text>
        <r>
          <rPr>
            <sz val="10"/>
            <rFont val="Arial"/>
            <family val="0"/>
          </rPr>
          <t>Ô chỉ tiêu có định dạng số. Đơn vị tính x 1 (hoặc %)</t>
        </r>
      </text>
    </comment>
    <comment ref="J16" authorId="0">
      <text>
        <r>
          <rPr>
            <sz val="10"/>
            <rFont val="Arial"/>
            <family val="0"/>
          </rPr>
          <t>Ô chỉ tiêu có định dạng ký tự</t>
        </r>
      </text>
    </comment>
    <comment ref="K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ký tự
Dữ liệu động đầu vào hợp lệ khi chỉ được thêm dòng trên ô này.</t>
        </r>
      </text>
    </comment>
    <comment ref="G18" authorId="0">
      <text>
        <r>
          <rPr>
            <sz val="10"/>
            <rFont val="Arial"/>
            <family val="0"/>
          </rPr>
          <t>Ô chỉ tiêu có định dạng số. Đơn vị tính x 1 (hoặc %)
Dữ liệu động đầu vào hợp lệ khi chỉ được thêm dòng trên ô này.</t>
        </r>
      </text>
    </comment>
    <comment ref="H18" authorId="0">
      <text>
        <r>
          <rPr>
            <sz val="10"/>
            <rFont val="Arial"/>
            <family val="0"/>
          </rPr>
          <t>Ô chỉ tiêu có định dạng ký tự
Dữ liệu động đầu vào hợp lệ khi chỉ được thêm dòng trên ô này.</t>
        </r>
      </text>
    </comment>
    <comment ref="I18" authorId="0">
      <text>
        <r>
          <rPr>
            <sz val="10"/>
            <rFont val="Arial"/>
            <family val="0"/>
          </rPr>
          <t>Ô chỉ tiêu có định dạng số. Đơn vị tính x 1 (hoặc %)
Dữ liệu động đầu vào hợp lệ khi chỉ được thêm dòng trên ô này.</t>
        </r>
      </text>
    </comment>
    <comment ref="J18" authorId="0">
      <text>
        <r>
          <rPr>
            <sz val="10"/>
            <rFont val="Arial"/>
            <family val="0"/>
          </rPr>
          <t>Ô chỉ tiêu có định dạng ký tự
Dữ liệu động đầu vào hợp lệ khi chỉ được thêm dòng trên ô này.</t>
        </r>
      </text>
    </comment>
    <comment ref="K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ký tự</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ký tự</t>
        </r>
      </text>
    </comment>
    <comment ref="I19" authorId="0">
      <text>
        <r>
          <rPr>
            <sz val="10"/>
            <rFont val="Arial"/>
            <family val="0"/>
          </rPr>
          <t>Ô chỉ tiêu có định dạng số. Đơn vị tính x 1 (hoặc %)</t>
        </r>
      </text>
    </comment>
    <comment ref="J19" authorId="0">
      <text>
        <r>
          <rPr>
            <sz val="10"/>
            <rFont val="Arial"/>
            <family val="0"/>
          </rPr>
          <t>Ô chỉ tiêu có định dạng ký tự</t>
        </r>
      </text>
    </comment>
    <comment ref="K19" authorId="0">
      <text>
        <r>
          <rPr>
            <sz val="10"/>
            <rFont val="Arial"/>
            <family val="0"/>
          </rPr>
          <t>Ô chỉ tiêu có định dạng số. Đơn vị tính x 1 (hoặc %)</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ký tự</t>
        </r>
      </text>
    </comment>
    <comment ref="G20" authorId="0">
      <text>
        <r>
          <rPr>
            <sz val="10"/>
            <rFont val="Arial"/>
            <family val="0"/>
          </rPr>
          <t>Ô chỉ tiêu có định dạng số. Đơn vị tính x 1 (hoặc %)</t>
        </r>
      </text>
    </comment>
    <comment ref="H20" authorId="0">
      <text>
        <r>
          <rPr>
            <sz val="10"/>
            <rFont val="Arial"/>
            <family val="0"/>
          </rPr>
          <t>Ô chỉ tiêu có định dạng ký tự</t>
        </r>
      </text>
    </comment>
    <comment ref="I20" authorId="0">
      <text>
        <r>
          <rPr>
            <sz val="10"/>
            <rFont val="Arial"/>
            <family val="0"/>
          </rPr>
          <t>Ô chỉ tiêu có định dạng số. Đơn vị tính x 1 (hoặc %)</t>
        </r>
      </text>
    </comment>
    <comment ref="J20" authorId="0">
      <text>
        <r>
          <rPr>
            <sz val="10"/>
            <rFont val="Arial"/>
            <family val="0"/>
          </rPr>
          <t>Ô chỉ tiêu có định dạng ký tự</t>
        </r>
      </text>
    </comment>
    <comment ref="K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x 1 (hoặc %)</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D3" authorId="0">
      <text>
        <r>
          <rPr>
            <sz val="10"/>
            <rFont val="Arial"/>
            <family val="0"/>
          </rPr>
          <t>Ô chỉ tiêu có định dạng ký tự</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ký tự</t>
        </r>
      </text>
    </comment>
    <comment ref="G3" authorId="0">
      <text>
        <r>
          <rPr>
            <sz val="10"/>
            <rFont val="Arial"/>
            <family val="0"/>
          </rPr>
          <t>Ô chỉ tiêu có định dạng ký tự</t>
        </r>
      </text>
    </comment>
    <comment ref="A5" authorId="0">
      <text>
        <r>
          <rPr>
            <sz val="10"/>
            <rFont val="Arial"/>
            <family val="0"/>
          </rPr>
          <t>Ô chỉ tiêu có định dạng số. Đơn vị tính x 1 (hoặc %)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ký tự</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ký tự</t>
        </r>
      </text>
    </comment>
    <comment ref="G6" authorId="0">
      <text>
        <r>
          <rPr>
            <sz val="10"/>
            <rFont val="Arial"/>
            <family val="0"/>
          </rPr>
          <t>Ô chỉ tiêu có định dạng ký tự</t>
        </r>
      </text>
    </comment>
    <comment ref="E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A8" authorId="0">
      <text>
        <r>
          <rPr>
            <sz val="10"/>
            <rFont val="Arial"/>
            <family val="0"/>
          </rPr>
          <t>Ô chỉ tiêu có định dạng số. Đơn vị tính x 1 (hoặc %)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ký tự
Dữ liệu động đầu vào hợp lệ khi chỉ được thêm dòng trên ô này.</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ký tự
Dữ liệu động đầu vào hợp lệ khi chỉ được thêm dòng trên ô này.</t>
        </r>
      </text>
    </comment>
    <comment ref="G8" authorId="0">
      <text>
        <r>
          <rPr>
            <sz val="10"/>
            <rFont val="Arial"/>
            <family val="0"/>
          </rPr>
          <t>Ô chỉ tiêu có định dạng ký tự</t>
        </r>
      </text>
    </comment>
    <comment ref="E9" authorId="0">
      <text>
        <r>
          <rPr>
            <sz val="10"/>
            <rFont val="Arial"/>
            <family val="0"/>
          </rPr>
          <t>Ô chỉ tiêu có định dạng số. Đơn vị tính x 1 (hoặc %)</t>
        </r>
      </text>
    </comment>
    <comment ref="G9" authorId="0">
      <text>
        <r>
          <rPr>
            <sz val="10"/>
            <rFont val="Arial"/>
            <family val="0"/>
          </rPr>
          <t>Ô chỉ tiêu có định dạng ký tự</t>
        </r>
      </text>
    </comment>
    <comment ref="G10" authorId="0">
      <text>
        <r>
          <rPr>
            <sz val="10"/>
            <rFont val="Arial"/>
            <family val="0"/>
          </rPr>
          <t>Ô chỉ tiêu có định dạng ký tự</t>
        </r>
      </text>
    </comment>
    <comment ref="A11" authorId="0">
      <text>
        <r>
          <rPr>
            <sz val="10"/>
            <rFont val="Arial"/>
            <family val="0"/>
          </rPr>
          <t>Ô chỉ tiêu có định dạng số. Đơn vị tính x 1 (hoặc %)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ký tự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G11"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ký tự</t>
        </r>
      </text>
    </comment>
    <comment ref="G12" authorId="0">
      <text>
        <r>
          <rPr>
            <sz val="10"/>
            <rFont val="Arial"/>
            <family val="0"/>
          </rPr>
          <t>Ô chỉ tiêu có định dạng ký tự</t>
        </r>
      </text>
    </comment>
    <comment ref="E13" authorId="0">
      <text>
        <r>
          <rPr>
            <sz val="10"/>
            <rFont val="Arial"/>
            <family val="0"/>
          </rPr>
          <t>Ô chỉ tiêu có định dạng số. Đơn vị tính x 1 (hoặc %)</t>
        </r>
      </text>
    </comment>
    <comment ref="G13" authorId="0">
      <text>
        <r>
          <rPr>
            <sz val="10"/>
            <rFont val="Arial"/>
            <family val="0"/>
          </rPr>
          <t>Ô chỉ tiêu có định dạng ký tự</t>
        </r>
      </text>
    </comment>
    <comment ref="A14" authorId="0">
      <text>
        <r>
          <rPr>
            <sz val="10"/>
            <rFont val="Arial"/>
            <family val="0"/>
          </rPr>
          <t>Ô chỉ tiêu có định dạng số. Đơn vị tính x 1 (hoặc %)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ký tự
Dữ liệu động đầu vào hợp lệ khi chỉ được thêm dòng trên ô này.</t>
        </r>
      </text>
    </comment>
    <comment ref="G14"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ký tự</t>
        </r>
      </text>
    </comment>
    <comment ref="G15" authorId="0">
      <text>
        <r>
          <rPr>
            <sz val="10"/>
            <rFont val="Arial"/>
            <family val="0"/>
          </rPr>
          <t>Ô chỉ tiêu có định dạng ký tự</t>
        </r>
      </text>
    </comment>
    <comment ref="G16" authorId="0">
      <text>
        <r>
          <rPr>
            <sz val="10"/>
            <rFont val="Arial"/>
            <family val="0"/>
          </rPr>
          <t>Ô chỉ tiêu có định dạng ký tự</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ký tự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G17" authorId="0">
      <text>
        <r>
          <rPr>
            <sz val="10"/>
            <rFont val="Arial"/>
            <family val="0"/>
          </rPr>
          <t>Ô chỉ tiêu có định dạng ký tự</t>
        </r>
      </text>
    </comment>
    <comment ref="D18" authorId="0">
      <text>
        <r>
          <rPr>
            <sz val="10"/>
            <rFont val="Arial"/>
            <family val="0"/>
          </rPr>
          <t>Ô chỉ tiêu có định dạng ký tự</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ký tự</t>
        </r>
      </text>
    </comment>
    <comment ref="G18" authorId="0">
      <text>
        <r>
          <rPr>
            <sz val="10"/>
            <rFont val="Arial"/>
            <family val="0"/>
          </rPr>
          <t>Ô chỉ tiêu có định dạng ký tự</t>
        </r>
      </text>
    </comment>
    <comment ref="G19" authorId="0">
      <text>
        <r>
          <rPr>
            <sz val="10"/>
            <rFont val="Arial"/>
            <family val="0"/>
          </rPr>
          <t>Ô chỉ tiêu có định dạng ký tự</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 ref="G20" authorId="0">
      <text>
        <r>
          <rPr>
            <sz val="10"/>
            <rFont val="Arial"/>
            <family val="0"/>
          </rPr>
          <t>Ô chỉ tiêu có định dạng ký tự</t>
        </r>
      </text>
    </comment>
  </commentList>
</comments>
</file>

<file path=xl/comments8.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H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H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H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số. Đơn vị tính x 1 (hoặc %)</t>
        </r>
      </text>
    </comment>
    <comment ref="H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H11" authorId="0">
      <text>
        <r>
          <rPr>
            <sz val="10"/>
            <rFont val="Arial"/>
            <family val="0"/>
          </rPr>
          <t>Ô chỉ tiêu có định dạng số. Đơn vị tính x 1 (hoặc %)</t>
        </r>
      </text>
    </comment>
    <comment ref="A13" authorId="0">
      <text>
        <r>
          <rPr>
            <sz val="10"/>
            <rFont val="Arial"/>
            <family val="0"/>
          </rPr>
          <t>Ô chỉ tiêu có giá trị hợp lệ với CSDL
Dữ liệu động đầu vào hợp lệ khi chỉ được thêm dòng trên ô này.</t>
        </r>
      </text>
    </comment>
    <comment ref="B13" authorId="0">
      <text>
        <r>
          <rPr>
            <sz val="10"/>
            <rFont val="Arial"/>
            <family val="0"/>
          </rPr>
          <t>Ô chỉ tiêu có giá trị hợp lệ với CSDL
Dữ liệu động đầu vào hợp lệ khi chỉ được thêm dòng trên ô này.</t>
        </r>
      </text>
    </comment>
    <comment ref="C13" authorId="0">
      <text>
        <r>
          <rPr>
            <sz val="10"/>
            <rFont val="Arial"/>
            <family val="0"/>
          </rPr>
          <t>Ô chỉ tiêu có giá trị hợp lệ với CSDL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H13"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H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 ref="H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G17" authorId="0">
      <text>
        <r>
          <rPr>
            <sz val="10"/>
            <rFont val="Arial"/>
            <family val="0"/>
          </rPr>
          <t>Ô chỉ tiêu có định dạng số. Đơn vị tính x 1 (hoặc %)</t>
        </r>
      </text>
    </comment>
    <comment ref="H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số. Đơn vị tính x 1 (hoặc %)</t>
        </r>
      </text>
    </comment>
    <comment ref="H19"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<sst xmlns="http://schemas.openxmlformats.org/spreadsheetml/2006/main" count="1249" uniqueCount="434">
  <si>
    <t xml:space="preserve"> </t>
  </si>
  <si>
    <t>BÁO CÁO HOẠT ĐỘNG ĐẦU TƯ CỦA QUỸ ĐẦU TƯ BẤT ĐỘNG SẢN</t>
  </si>
  <si>
    <t>Kỳ báo cáo:</t>
  </si>
  <si>
    <t>Giá trị kỳ báo cáo:</t>
  </si>
  <si>
    <t>Năm:</t>
  </si>
  <si>
    <t>Phụ lục XXVI- Thông tư 98/2020/TT-BTC</t>
  </si>
  <si>
    <t>STT</t>
  </si>
  <si>
    <t>Nội dung</t>
  </si>
  <si>
    <t>Tên sheet</t>
  </si>
  <si>
    <t>1</t>
  </si>
  <si>
    <t>Báo cáo về tài sản của quỹ đầu tư bất động sản/công ty đầu tư chứng khoán bất động sản</t>
  </si>
  <si>
    <t>BCTaiSan_06116</t>
  </si>
  <si>
    <t>2</t>
  </si>
  <si>
    <t>Báo cáo kết quả hoạt động</t>
  </si>
  <si>
    <t>BCKetQuaHoatDong_06117</t>
  </si>
  <si>
    <t>3</t>
  </si>
  <si>
    <t>Báo cáo danh mục đầu tư</t>
  </si>
  <si>
    <t>BCDanhMucDauTu_06118</t>
  </si>
  <si>
    <t>4</t>
  </si>
  <si>
    <t>Báo cáo hoạt động vay, giao dịch mua bán lại</t>
  </si>
  <si>
    <t>BCHoatDongVay_06119</t>
  </si>
  <si>
    <t>5</t>
  </si>
  <si>
    <t>Một số chỉ tiêu khác</t>
  </si>
  <si>
    <t>Khac_06120</t>
  </si>
  <si>
    <t>6</t>
  </si>
  <si>
    <t>Thống kê giá dịch vụ giao dịch</t>
  </si>
  <si>
    <t>ThongKePhiGiaoDich_06121</t>
  </si>
  <si>
    <t>7</t>
  </si>
  <si>
    <t>Thống kê giao dịch của Quỹ đầu tư bất động sản/Công ty đầu tư chứng khoán bất động sản với người có liên quan</t>
  </si>
  <si>
    <t>TKGD_NguoiLienQuan_06132</t>
  </si>
  <si>
    <t>8</t>
  </si>
  <si>
    <t>Thống kê giao dịch bất động sản của Quỹ đầu tư bất động sản/Công ty đầu tư chứng khoán bất động sản</t>
  </si>
  <si>
    <t>TKGD_BDS_06200</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</si>
  <si>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</si>
  <si>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</si>
  <si>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</si>
  <si>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</si>
  <si>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</si>
  <si>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</si>
  <si>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</si>
  <si>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</si>
  <si>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</si>
  <si>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</si>
  <si>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</si>
  <si>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</si>
  <si>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</si>
  <si>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</si>
  <si>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</si>
  <si>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</si>
  <si>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t>
  </si>
  <si>
    <t>(Tổng) Giám đốc</t>
  </si>
  <si>
    <t>của Ngân hàng giám sát</t>
  </si>
  <si>
    <t>Công ty quản lý quỹ</t>
  </si>
  <si>
    <t>(Ký, ghi rõ họ tên và đóng dấu)</t>
  </si>
  <si>
    <t>TT</t>
  </si>
  <si>
    <t>Mã chỉ tiêu</t>
  </si>
  <si>
    <t>Kỳ báo cáo</t>
  </si>
  <si>
    <t>Kỳ trước</t>
  </si>
  <si>
    <t>%/cùng kỳ năm trước</t>
  </si>
  <si>
    <t>I</t>
  </si>
  <si>
    <t>Tài sản</t>
  </si>
  <si>
    <t>2200</t>
  </si>
  <si>
    <t>I.1</t>
  </si>
  <si>
    <t>Tiền và các khoản tương đương tiền</t>
  </si>
  <si>
    <t>2201</t>
  </si>
  <si>
    <t>Tiền, tương đương tiền</t>
  </si>
  <si>
    <t>2202</t>
  </si>
  <si>
    <t>Tiền gửi ngân hàng</t>
  </si>
  <si>
    <t>2203</t>
  </si>
  <si>
    <t>I.2</t>
  </si>
  <si>
    <t>Các khoản đầu tư (kê chi tiết)</t>
  </si>
  <si>
    <t>2205</t>
  </si>
  <si>
    <t>...</t>
  </si>
  <si>
    <t>I.3</t>
  </si>
  <si>
    <t>Thu từ cho thuê bất động sản đầu tư (áp dụng đối với các quỹ được phép đầu tư bất động sản)</t>
  </si>
  <si>
    <t>22051</t>
  </si>
  <si>
    <t>I.4</t>
  </si>
  <si>
    <t>Cổ tức, trái tức được nhận</t>
  </si>
  <si>
    <t>2206</t>
  </si>
  <si>
    <t xml:space="preserve">I.5 </t>
  </si>
  <si>
    <t>Lãi được nhận</t>
  </si>
  <si>
    <t>2207</t>
  </si>
  <si>
    <t>I.6</t>
  </si>
  <si>
    <t>Tiền bán bất động sản chờ thu (kê chi tiết - áp dụng đối với các quỹ được phép đầu tư bất động sản)</t>
  </si>
  <si>
    <t>22071</t>
  </si>
  <si>
    <t xml:space="preserve">I.7 </t>
  </si>
  <si>
    <t>Tiền bán chứng khoán chờ thu (kê chi tiết)</t>
  </si>
  <si>
    <t>2208</t>
  </si>
  <si>
    <t xml:space="preserve">I.8 </t>
  </si>
  <si>
    <t>Các khoản phải thu khác</t>
  </si>
  <si>
    <t>2210</t>
  </si>
  <si>
    <t>I.9</t>
  </si>
  <si>
    <t>Các tài sản khác</t>
  </si>
  <si>
    <t>2211</t>
  </si>
  <si>
    <t>I.10</t>
  </si>
  <si>
    <t>Tổng tài sản</t>
  </si>
  <si>
    <t>2212</t>
  </si>
  <si>
    <t xml:space="preserve">II. </t>
  </si>
  <si>
    <t>Nợ</t>
  </si>
  <si>
    <t>2213</t>
  </si>
  <si>
    <t xml:space="preserve">II.1 </t>
  </si>
  <si>
    <t>Tiền phải thanh toán mua bất động sản (kê chi tiết)</t>
  </si>
  <si>
    <t>22131</t>
  </si>
  <si>
    <t xml:space="preserve">II.2 </t>
  </si>
  <si>
    <t>Tiền phải thanh toán mua chứng khoán (kê chi tiết)</t>
  </si>
  <si>
    <t>2214</t>
  </si>
  <si>
    <t>II.2.1. CP niêm yết</t>
  </si>
  <si>
    <t>22141</t>
  </si>
  <si>
    <t>II.2.2. Trái phiếu niêm yết</t>
  </si>
  <si>
    <t>22142</t>
  </si>
  <si>
    <t xml:space="preserve">II.3 </t>
  </si>
  <si>
    <t>Các khoản phải trả khác</t>
  </si>
  <si>
    <t>2215</t>
  </si>
  <si>
    <t xml:space="preserve">II.4 </t>
  </si>
  <si>
    <t>Tổng nợ</t>
  </si>
  <si>
    <t>2216</t>
  </si>
  <si>
    <t>Tài sản ròng của Quỹ/Công ty đầu tư (I.10-II.4)</t>
  </si>
  <si>
    <t>2217</t>
  </si>
  <si>
    <t>Tổng số chứng chỉ quỹ/cổ phiếu đang lưu hành</t>
  </si>
  <si>
    <t>2218</t>
  </si>
  <si>
    <t>Giá trị tài sản ròng trên một chứng chỉ quỹ/cổ phiếu</t>
  </si>
  <si>
    <t>2219</t>
  </si>
  <si>
    <t>Chỉ tiêu</t>
  </si>
  <si>
    <t>Lũy kế từ đầu năm</t>
  </si>
  <si>
    <t>Thu nhập từ hoạt động đầu tư</t>
  </si>
  <si>
    <t>2220</t>
  </si>
  <si>
    <t>Thu từ bất động sản cho thuê (áp dụng đối với các quỹ được phép đầu tư bất động sản)</t>
  </si>
  <si>
    <t>22201</t>
  </si>
  <si>
    <t>2221</t>
  </si>
  <si>
    <t>2222</t>
  </si>
  <si>
    <t>Các khoản thu nhập khác</t>
  </si>
  <si>
    <t>2223</t>
  </si>
  <si>
    <t>II</t>
  </si>
  <si>
    <t>Chi phí</t>
  </si>
  <si>
    <t>2224</t>
  </si>
  <si>
    <t>Phí quản lý trả cho công ty quản lý quỹ</t>
  </si>
  <si>
    <t>2225</t>
  </si>
  <si>
    <t>2226</t>
  </si>
  <si>
    <t>Chi phí dịch vụ quản trị quỹ, chi phí dịch vụ đại lý chuyển nhượng và các chi phí khác mà công ty quản lý quỹ trả cho tổ chức cung cấp dịch vụ có liên quan (nếu có);</t>
  </si>
  <si>
    <t>2227</t>
  </si>
  <si>
    <t>Chi phí dịch vụ quản lý bất động sản</t>
  </si>
  <si>
    <t>22271</t>
  </si>
  <si>
    <t>Chi phí dịch vụ định giá bất động sản</t>
  </si>
  <si>
    <t>22272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</si>
  <si>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</si>
  <si>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</si>
  <si>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</si>
  <si>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</si>
  <si>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</si>
  <si>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2230</t>
  </si>
  <si>
    <t>2231</t>
  </si>
  <si>
    <t>Các loại chi phí khác (nêu chi tiết)</t>
  </si>
  <si>
    <t>2232</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</si>
  <si>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</si>
  <si>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</si>
  <si>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</si>
  <si>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</si>
  <si>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</si>
  <si>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</si>
  <si>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</si>
  <si>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</si>
  <si>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</si>
  <si>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</si>
  <si>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</si>
  <si>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</si>
  <si>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</si>
  <si>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</si>
  <si>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</si>
  <si>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</si>
  <si>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</si>
  <si>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t>
  </si>
  <si>
    <t>2239</t>
  </si>
  <si>
    <t>trong đó</t>
  </si>
  <si>
    <t>2240</t>
  </si>
  <si>
    <t>Thay đổi giá trị tài sản ròng của Quỹ/Công ty đầu tư chứng khoán do các hoạt động đầu tư trong kỳ</t>
  </si>
  <si>
    <t>2241</t>
  </si>
  <si>
    <t>Thay đổi giá trị tài sản ròng do việc chi trả lợi tức/cổ tức cho các nhà đầu tư/cổ đông trong kỳ</t>
  </si>
  <si>
    <t>2242</t>
  </si>
  <si>
    <t>Thay đổi giá trị tài sản ròng do phát hành thêm/mua lại chứng chỉ quỹ</t>
  </si>
  <si>
    <t>2246</t>
  </si>
  <si>
    <t>VIII</t>
  </si>
  <si>
    <t>Giá trị tài sản ròng cuối kỳ</t>
  </si>
  <si>
    <t>2243</t>
  </si>
  <si>
    <t>IX</t>
  </si>
  <si>
    <t>Lợi nhuận bình quân năm (chỉ áp dụng đối với báo cáo năm)</t>
  </si>
  <si>
    <t>2244</t>
  </si>
  <si>
    <t>Tỷ suất lợi nhuận bình quân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</si>
  <si>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</si>
  <si>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</si>
  <si>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</si>
  <si>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</si>
  <si>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</si>
  <si>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</si>
  <si>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</si>
  <si>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22451</t>
  </si>
  <si>
    <t>Tổng</t>
  </si>
  <si>
    <t>22452</t>
  </si>
  <si>
    <t>Cổ phiếu niêm yết, đăng ký giao dịch, chứng chỉ quỹ niêm yết</t>
  </si>
  <si>
    <t>2247</t>
  </si>
  <si>
    <t>Cổ phiếu chưa niêm yết, đăng ký giao dịch, chứng chỉ quỹ không niêm yết</t>
  </si>
  <si>
    <t>2248</t>
  </si>
  <si>
    <t>2249</t>
  </si>
  <si>
    <t xml:space="preserve">IV </t>
  </si>
  <si>
    <t>Trái phiếu</t>
  </si>
  <si>
    <t>2251</t>
  </si>
  <si>
    <t>2252</t>
  </si>
  <si>
    <t>Các loại chứng khoán khác</t>
  </si>
  <si>
    <t>2253</t>
  </si>
  <si>
    <t>2254</t>
  </si>
  <si>
    <t xml:space="preserve">VI </t>
  </si>
  <si>
    <t xml:space="preserve">Các tài sản khác </t>
  </si>
  <si>
    <t>2256</t>
  </si>
  <si>
    <t>2257</t>
  </si>
  <si>
    <t xml:space="preserve">VII </t>
  </si>
  <si>
    <t xml:space="preserve">Tiền </t>
  </si>
  <si>
    <t>2258</t>
  </si>
  <si>
    <t>2259</t>
  </si>
  <si>
    <t>2264</t>
  </si>
  <si>
    <t>2262</t>
  </si>
  <si>
    <t xml:space="preserve">Tổng giá trị danh mục </t>
  </si>
  <si>
    <t>2263</t>
  </si>
  <si>
    <t>Nội dung hoạt động (nêu chi tiết theo mục tiêu và đối tác)</t>
  </si>
  <si>
    <t xml:space="preserve">Đối tác </t>
  </si>
  <si>
    <t xml:space="preserve">Mục tiêu/Tài sản đảm bảo </t>
  </si>
  <si>
    <t>Kỳ hạn</t>
  </si>
  <si>
    <t>Giá trị khoản vay hoặc khoản cho vay</t>
  </si>
  <si>
    <t>Thời điểm giao dịch</t>
  </si>
  <si>
    <t>Thời điểm báo cáo</t>
  </si>
  <si>
    <t>Ngày tháng năm</t>
  </si>
  <si>
    <t>Tỷ lệ giá trị hợp đồng/giá trị tài sản ròng của quỹ/công ty (%)</t>
  </si>
  <si>
    <t xml:space="preserve">Ngày tháng năm </t>
  </si>
  <si>
    <t>Các khoản vay tiền (nêu chi tiết từng hợp đồng)</t>
  </si>
  <si>
    <t>2287</t>
  </si>
  <si>
    <t>Tổng giá trị các khoản vay tiền/giá trị tài sản</t>
  </si>
  <si>
    <t>2288</t>
  </si>
  <si>
    <t xml:space="preserve"> Hợp đồng Repo  (nêu chi tiết từng hợp đồng)</t>
  </si>
  <si>
    <t>2289</t>
  </si>
  <si>
    <t>Tổng giá trị các hợp đồng Repo/giá trị tài sản ròng</t>
  </si>
  <si>
    <t>2290</t>
  </si>
  <si>
    <t>A</t>
  </si>
  <si>
    <t>Tổng giá trị các khoản vay/giá trị tài sản ròng (=I+II)</t>
  </si>
  <si>
    <t>2291</t>
  </si>
  <si>
    <t>Cho vay chứng khoán (nêu chi tiết từng hợp đồng)</t>
  </si>
  <si>
    <t>2292</t>
  </si>
  <si>
    <t>Tổng giá trị các hợp đồng/giá trị tài sản ròng</t>
  </si>
  <si>
    <t>2294</t>
  </si>
  <si>
    <t>Hợp đồng Reverse Repo (nêu chi tiết từng hợp đồng)</t>
  </si>
  <si>
    <t>2295</t>
  </si>
  <si>
    <t>Tổng giá trị hợp đồng/giá trị tài sản ròng</t>
  </si>
  <si>
    <t>2296</t>
  </si>
  <si>
    <t>B</t>
  </si>
  <si>
    <t>Tổng giá trị các khoản cho vay/giá trị tài sản ròng  (=III + IV)</t>
  </si>
  <si>
    <t>2297</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</si>
  <si>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</si>
  <si>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</si>
  <si>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</si>
  <si>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</si>
  <si>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</si>
  <si>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lệ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</si>
  <si>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</si>
  <si>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</si>
  <si>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</si>
  <si>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</si>
  <si>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22671</t>
  </si>
  <si>
    <t>Chi phí trả cho doanh nghiệp thẩm định giá bất động sản/Giá trị tài sản ròng trung bình trong kỳ (%)</t>
  </si>
  <si>
    <t>22672</t>
  </si>
  <si>
    <t>Chi phí dịch vụ tư vấn pháp lý, dịch vụ báo giá và các dịch vụ hợp lý khác, thù lao trả cho ban đại diện quỹ/Giá trị tài sản ròng trung bình trong kỳ  (%)</t>
  </si>
  <si>
    <t>2268</t>
  </si>
  <si>
    <t>Tỷ lệ chi phí/Giá trị tài sản ròng trung bình trong kỳ (%)</t>
  </si>
  <si>
    <t>2269</t>
  </si>
  <si>
    <t>Tốc độ vòng quay danh mục trong kỳ (%)</t>
  </si>
  <si>
    <t>Tỷ lệ thu nhập (tính cả thu nhập từ lãi, cổ tức, trái tức, chênh lệch giá)/Giá trị tài sản ròng (áp dụng đối với quỹ thành viên, quỹ đóng, công ty đầu tư chứng khoán)</t>
  </si>
  <si>
    <t>2271</t>
  </si>
  <si>
    <t xml:space="preserve">Các chỉ tiêu khác </t>
  </si>
  <si>
    <t>2272</t>
  </si>
  <si>
    <t>Quy mô quỹ đầu kỳ</t>
  </si>
  <si>
    <t>2273</t>
  </si>
  <si>
    <t>Tổng giá trị chứng chỉ quỹ/cổ phiếu đang lưu hành đầu kỳ</t>
  </si>
  <si>
    <t>2274</t>
  </si>
  <si>
    <t>Tổng số lượng chứng chỉ quỹ/cổ phiếu đang lưu hành đầu kỳ</t>
  </si>
  <si>
    <t>2275</t>
  </si>
  <si>
    <t>Thay đổi quy mô quỹ trong kỳ</t>
  </si>
  <si>
    <t>2276</t>
  </si>
  <si>
    <t>Số lượng chứng chỉ quỹ/cổ phiếu phát hành thêm trong kỳ</t>
  </si>
  <si>
    <t>2277</t>
  </si>
  <si>
    <t>Giá trị vốn thực huy động thêm trong kỳ</t>
  </si>
  <si>
    <t>2278</t>
  </si>
  <si>
    <t>Quy mô quỹ/ công ty cuối kỳ</t>
  </si>
  <si>
    <t>2279</t>
  </si>
  <si>
    <t>2280</t>
  </si>
  <si>
    <t>Tổng số lượng chứng chỉ quỹ/ cổ phiếu đang lưu hành đầu kỳ</t>
  </si>
  <si>
    <t>2281</t>
  </si>
  <si>
    <t>Tỷ lệ nắm giữ chứng chỉ quỹ/ 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</si>
  <si>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</si>
  <si>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</si>
  <si>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</si>
  <si>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</si>
  <si>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</si>
  <si>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 xml:space="preserve">Giá trị tài sản ròng trên một chứng chỉ quỹ/ cổ phiếu cuối kỳ </t>
  </si>
  <si>
    <t>2285</t>
  </si>
  <si>
    <t>Giá trị thị trường trên một chứng chỉ quỹ/cổ phiếu cuối kỳ (áp dụng đối với quỹ niêm yết)</t>
  </si>
  <si>
    <t>2286</t>
  </si>
  <si>
    <t>Số nhà đầu tư tham gia vào quỹ, kể cả giao dịch ký danh (áp dụng đối với quỹ mở)</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</si>
  <si>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</si>
  <si>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</si>
  <si>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</si>
  <si>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</si>
  <si>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</si>
  <si>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</si>
  <si>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tổ chức định giá xác định trong thời gian 06 tháng tính tới thời điểm thực hiện giao dịch</t>
  </si>
  <si>
    <t>2319</t>
  </si>
  <si>
    <t/>
  </si>
  <si>
    <t>Các giao dịch bất động sản có giá trị đạt  trên 10% tổng giá trị tài sản của quỹ/công ty sau giao dịch; hoặc giá trị của riêng giao dịch đó cùng với các giao dịch đã thực hiện trước đó với cùng đối tác trong mười hai (12) tháng gần nhất đạt trên 10% tổng giá trị tài sản của quỹ/công ty sau giao dịch</t>
  </si>
  <si>
    <t>2320</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</si>
  <si>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</si>
  <si>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2321</t>
  </si>
  <si>
    <t>Các giao dịch bất động sản với tổ chức cung cấp dịch vụ quản lý bất động sản</t>
  </si>
  <si>
    <t>2322</t>
  </si>
  <si>
    <t>Các giao dịch bất động sản với tổ chức định giá, chuyên viên định giá đã từng tham gia định giá chính bất động sản đó</t>
  </si>
  <si>
    <t>2323</t>
  </si>
  <si>
    <t>Các trường hợp khác theo quy định của Điều lệ Quỹ/Công ty đầu tư chứng khoán</t>
  </si>
  <si>
    <t>2324</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</si>
  <si>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</si>
  <si>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</si>
  <si>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</si>
  <si>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</si>
  <si>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</si>
  <si>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</si>
  <si>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</si>
  <si>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</si>
  <si>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</si>
  <si>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</si>
  <si>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2325</t>
  </si>
  <si>
    <t>2326</t>
  </si>
  <si>
    <t>I.5</t>
  </si>
  <si>
    <t>2327</t>
  </si>
  <si>
    <t>2328</t>
  </si>
  <si>
    <t>I.7</t>
  </si>
  <si>
    <t>2329</t>
  </si>
  <si>
    <t>I.8</t>
  </si>
  <si>
    <t>2330</t>
  </si>
  <si>
    <t>2331</t>
  </si>
  <si>
    <t>II.1</t>
  </si>
  <si>
    <t>2332</t>
  </si>
  <si>
    <t>II.2</t>
  </si>
  <si>
    <t>2333</t>
  </si>
  <si>
    <t>II.3</t>
  </si>
  <si>
    <t>2334</t>
  </si>
  <si>
    <t>Thu nhập từ hoạt động đầu tư gián tiếp ra nước ngoài</t>
  </si>
  <si>
    <t>Các khoản thu nhập khác (kê chi tiết)</t>
  </si>
  <si>
    <t>Chi phí đầu tư gián tiếp ra nước ngoài</t>
  </si>
  <si>
    <t>2335</t>
  </si>
  <si>
    <t>Phí lưu ký tại nước ngoài</t>
  </si>
  <si>
    <t>2336</t>
  </si>
  <si>
    <t>Các loại phí khác (kê chi tiết)</t>
  </si>
  <si>
    <t>2337</t>
  </si>
  <si>
    <t>Thu nhập ròng từ hoạt động đầu tư gián tiếp ra nước ngoài (I-II)</t>
  </si>
  <si>
    <t>2338</t>
  </si>
  <si>
    <t>Lãi (lỗ) từ hoạt động đầu tư gián tiếp ra nước ngoài</t>
  </si>
  <si>
    <t>2339</t>
  </si>
  <si>
    <t>Lãi (lỗ) thực tế phát sinh từ hoạt động đầu tư</t>
  </si>
  <si>
    <t>2340</t>
  </si>
  <si>
    <t>Loại tài sản (nêu chi tiết)</t>
  </si>
  <si>
    <t>Tỷ lệ %/Tổng giá trị tài sản ròng</t>
  </si>
  <si>
    <t>Chứng chỉ tiền gửi</t>
  </si>
  <si>
    <t>2341</t>
  </si>
  <si>
    <t>2342</t>
  </si>
  <si>
    <t>Trái phiếu Chính phủ</t>
  </si>
  <si>
    <t>2343</t>
  </si>
  <si>
    <t>2344</t>
  </si>
  <si>
    <t>Cổ phiếu niêm yết</t>
  </si>
  <si>
    <t>2345</t>
  </si>
  <si>
    <t>2346</t>
  </si>
  <si>
    <t>Trái phiếu niêm yết</t>
  </si>
  <si>
    <t>2347</t>
  </si>
  <si>
    <t>2348</t>
  </si>
  <si>
    <t>Chứng chỉ quỹ niêm yết</t>
  </si>
  <si>
    <t>2349</t>
  </si>
  <si>
    <t>2350</t>
  </si>
  <si>
    <t>Các loại tài sản khác</t>
  </si>
  <si>
    <t>2351</t>
  </si>
  <si>
    <t>2352</t>
  </si>
  <si>
    <t>Tổng giá trị danh mục</t>
  </si>
  <si>
    <t>2353</t>
  </si>
  <si>
    <t>Tháng</t>
  </si>
  <si>
    <t>1. Tên công ty quản lý quỹ: Công ty cổ phần Quản lý Quỹ Kỹ Thương</t>
  </si>
  <si>
    <t xml:space="preserve">2. Tên ngân hàng giám sát: Ngân hàng TMCP Đầu tư và Phát triển VN - Chi nhánh Hà Thành </t>
  </si>
  <si>
    <t>3. Tên quỹ đầu tư bất động sản: Quỹ đầu tư bất động sản Techcom Việt Nam</t>
  </si>
  <si>
    <t>2205.1</t>
  </si>
  <si>
    <t>2205.2</t>
  </si>
  <si>
    <t>Chi phí liên quan đến thực hiện các giao dịch tài sản của quỹ/công ty.</t>
  </si>
  <si>
    <t>Giá dịch vụ thưởng</t>
  </si>
  <si>
    <t>2232.1</t>
  </si>
  <si>
    <t>Chi phí khác</t>
  </si>
  <si>
    <t>2232.2</t>
  </si>
  <si>
    <t>2246.1</t>
  </si>
  <si>
    <t>2246.2</t>
  </si>
  <si>
    <t>2256.1</t>
  </si>
  <si>
    <t>Lãi trái phiếu được nhận</t>
  </si>
  <si>
    <t>2256.2</t>
  </si>
  <si>
    <t>Lãi tiền gửi</t>
  </si>
  <si>
    <t>2256.3</t>
  </si>
  <si>
    <t>Tiền bán chứng khoán chờ thu</t>
  </si>
  <si>
    <t>2256.4</t>
  </si>
  <si>
    <t>Các khoản đặt cọc và ứng trước</t>
  </si>
  <si>
    <t>2256.5</t>
  </si>
  <si>
    <t>Phải thu khác</t>
  </si>
  <si>
    <t>2256.6</t>
  </si>
  <si>
    <t>Phí lưu ký, giám sát trả cho NHGS</t>
  </si>
  <si>
    <t>Cổ tức được nhận</t>
  </si>
  <si>
    <t>2246.3</t>
  </si>
  <si>
    <t>Trái phiếu chưa niêm yết</t>
  </si>
  <si>
    <t>2205.3</t>
  </si>
  <si>
    <t>2246.4</t>
  </si>
  <si>
    <t>2246.5</t>
  </si>
  <si>
    <t>2246.6</t>
  </si>
  <si>
    <t>2246.7</t>
  </si>
  <si>
    <t>2246.8</t>
  </si>
  <si>
    <t>2246.9</t>
  </si>
  <si>
    <t>2246.10</t>
  </si>
  <si>
    <t>NLG</t>
  </si>
  <si>
    <t>2246.11</t>
  </si>
  <si>
    <t>2246.12</t>
  </si>
  <si>
    <t>2246.13</t>
  </si>
  <si>
    <t>2246.14</t>
  </si>
  <si>
    <t>2246.15</t>
  </si>
  <si>
    <t>VHM</t>
  </si>
  <si>
    <t>Quyền mua</t>
  </si>
  <si>
    <t>2253.1</t>
  </si>
  <si>
    <t>BCM</t>
  </si>
  <si>
    <t>NTL</t>
  </si>
  <si>
    <t>4. Ngày lập báo cáo: 05/08/2024</t>
  </si>
  <si>
    <t>CTD</t>
  </si>
  <si>
    <t>PC1</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</si>
</sst>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_);_(* \(#,##0.0\);_(* &quot;-&quot;??_);_(@_)"/>
    <numFmt numFmtId="181" formatCode="_(* #,##0_);_(* \(#,##0\);_(* &quot;-&quot;??_);_(@_)"/>
    <numFmt numFmtId="182" formatCode="0.0%"/>
    <numFmt numFmtId="183" formatCode="0.000%"/>
    <numFmt numFmtId="184" formatCode="[$-42A]dd\ mmmm\ yyyy"/>
    <numFmt numFmtId="185" formatCode="&quot;Yes&quot;;&quot;Yes&quot;;&quot;No&quot;"/>
    <numFmt numFmtId="186" formatCode="&quot;True&quot;;&quot;True&quot;;&quot;False&quot;"/>
    <numFmt numFmtId="187" formatCode="&quot;On&quot;;&quot;On&quot;;&quot;Off&quot;"/>
    <numFmt numFmtId="188" formatCode="[$€-2]\ #,##0.00_);[Red]\([$€-2]\ #,##0.00\)"/>
  </numFmts>
  <fonts count="48">
    <font>
      <sz val="10"/>
      <name val="Arial"/>
      <family val="0"/>
    </font>
    <font>
      <sz val="12"/>
      <name val="Times New Roman"/>
      <family val="1"/>
    </font>
    <font>
      <b/>
      <sz val="12"/>
      <name val="Times New Roman"/>
      <family val="1"/>
    </font>
    <font>
      <b/>
      <sz val="14"/>
      <name val="Times New Roman"/>
      <family val="1"/>
    </font>
    <font>
      <i/>
      <u val="single"/>
      <sz val="12"/>
      <name val="Times New Roman"/>
      <family val="1"/>
    </font>
    <font>
      <i/>
      <sz val="12"/>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3" fontId="27"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27"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4">
    <xf numFmtId="0" fontId="0" fillId="0" borderId="0" xfId="0" applyAlignment="1">
      <alignment/>
    </xf>
    <xf numFmtId="0" fontId="1" fillId="0" borderId="10" xfId="0" applyFont="1" applyBorder="1" applyAlignment="1">
      <alignment horizontal="left"/>
    </xf>
    <xf numFmtId="0" fontId="2" fillId="33" borderId="10" xfId="0" applyFont="1" applyFill="1" applyBorder="1" applyAlignment="1">
      <alignment horizontal="center" vertical="justify"/>
    </xf>
    <xf numFmtId="0" fontId="1" fillId="33" borderId="10" xfId="0" applyFont="1" applyFill="1" applyBorder="1" applyAlignment="1">
      <alignment horizontal="left"/>
    </xf>
    <xf numFmtId="0" fontId="2" fillId="0" borderId="10" xfId="0" applyFont="1" applyBorder="1" applyAlignment="1">
      <alignment horizontal="left"/>
    </xf>
    <xf numFmtId="181" fontId="2" fillId="33" borderId="10" xfId="42" applyNumberFormat="1" applyFont="1" applyFill="1" applyBorder="1" applyAlignment="1">
      <alignment horizontal="center" vertical="justify"/>
    </xf>
    <xf numFmtId="181" fontId="1" fillId="33" borderId="10" xfId="42" applyNumberFormat="1" applyFont="1" applyFill="1" applyBorder="1" applyAlignment="1">
      <alignment horizontal="left"/>
    </xf>
    <xf numFmtId="181" fontId="0" fillId="0" borderId="0" xfId="42" applyNumberFormat="1" applyFont="1" applyAlignment="1">
      <alignment/>
    </xf>
    <xf numFmtId="10" fontId="0" fillId="0" borderId="0" xfId="62" applyNumberFormat="1" applyFont="1" applyAlignment="1">
      <alignment horizontal="right"/>
    </xf>
    <xf numFmtId="0" fontId="1" fillId="0" borderId="10" xfId="0" applyFont="1" applyBorder="1" applyAlignment="1">
      <alignment horizontal="left" wrapText="1"/>
    </xf>
    <xf numFmtId="0" fontId="1" fillId="0" borderId="10" xfId="0" applyFont="1" applyBorder="1" applyAlignment="1">
      <alignment horizontal="left" wrapText="1"/>
    </xf>
    <xf numFmtId="0" fontId="2" fillId="0" borderId="10" xfId="0" applyFont="1" applyBorder="1" applyAlignment="1">
      <alignment horizontal="left" wrapText="1"/>
    </xf>
    <xf numFmtId="181" fontId="2" fillId="33" borderId="10" xfId="42" applyNumberFormat="1" applyFont="1" applyFill="1" applyBorder="1" applyAlignment="1">
      <alignment horizontal="right" vertical="justify"/>
    </xf>
    <xf numFmtId="181" fontId="1" fillId="33" borderId="10" xfId="42" applyNumberFormat="1" applyFont="1" applyFill="1" applyBorder="1" applyAlignment="1">
      <alignment horizontal="right"/>
    </xf>
    <xf numFmtId="181" fontId="0" fillId="0" borderId="0" xfId="42" applyNumberFormat="1" applyFont="1" applyAlignment="1">
      <alignment horizontal="right"/>
    </xf>
    <xf numFmtId="0" fontId="2" fillId="0" borderId="10" xfId="0" applyFont="1" applyBorder="1" applyAlignment="1">
      <alignment horizontal="left"/>
    </xf>
    <xf numFmtId="43" fontId="0" fillId="0" borderId="0" xfId="42" applyFont="1" applyAlignment="1">
      <alignment/>
    </xf>
    <xf numFmtId="181" fontId="0" fillId="0" borderId="0" xfId="0" applyNumberFormat="1" applyAlignment="1">
      <alignment/>
    </xf>
    <xf numFmtId="0" fontId="1" fillId="0" borderId="10" xfId="0" applyFont="1" applyBorder="1" applyAlignment="1">
      <alignment horizontal="left"/>
    </xf>
    <xf numFmtId="41" fontId="0" fillId="0" borderId="0" xfId="0" applyNumberFormat="1" applyAlignment="1">
      <alignment/>
    </xf>
    <xf numFmtId="181" fontId="0" fillId="0" borderId="0" xfId="62" applyNumberFormat="1" applyFont="1" applyAlignment="1">
      <alignment/>
    </xf>
    <xf numFmtId="0" fontId="1" fillId="0" borderId="0" xfId="0" applyFont="1" applyFill="1" applyAlignment="1">
      <alignment horizontal="left"/>
    </xf>
    <xf numFmtId="0" fontId="0" fillId="0" borderId="0" xfId="0" applyFont="1" applyFill="1" applyAlignment="1">
      <alignment/>
    </xf>
    <xf numFmtId="0" fontId="1" fillId="0" borderId="0" xfId="0" applyFont="1" applyFill="1" applyAlignment="1">
      <alignment horizontal="right"/>
    </xf>
    <xf numFmtId="0" fontId="2" fillId="0" borderId="10" xfId="0" applyFont="1" applyFill="1" applyBorder="1" applyAlignment="1">
      <alignment horizontal="center" vertical="justify"/>
    </xf>
    <xf numFmtId="0" fontId="1" fillId="0" borderId="10" xfId="0" applyFont="1" applyFill="1" applyBorder="1" applyAlignment="1">
      <alignment horizontal="center"/>
    </xf>
    <xf numFmtId="0" fontId="1" fillId="0" borderId="10" xfId="0" applyFont="1" applyFill="1" applyBorder="1" applyAlignment="1">
      <alignment horizontal="left"/>
    </xf>
    <xf numFmtId="0" fontId="4" fillId="0" borderId="0" xfId="0" applyFont="1" applyFill="1" applyAlignment="1">
      <alignment horizontal="left"/>
    </xf>
    <xf numFmtId="0" fontId="2" fillId="0" borderId="0" xfId="0" applyFont="1" applyFill="1" applyAlignment="1">
      <alignment horizontal="center" vertical="justify"/>
    </xf>
    <xf numFmtId="0" fontId="4" fillId="0" borderId="0" xfId="0" applyFont="1" applyFill="1" applyAlignment="1">
      <alignment horizontal="center"/>
    </xf>
    <xf numFmtId="0" fontId="5" fillId="0" borderId="0" xfId="0" applyFont="1" applyFill="1" applyAlignment="1">
      <alignment horizontal="center" vertical="justify"/>
    </xf>
    <xf numFmtId="0" fontId="0" fillId="0" borderId="0" xfId="0" applyFont="1" applyAlignment="1">
      <alignment/>
    </xf>
    <xf numFmtId="181" fontId="0" fillId="0" borderId="0" xfId="42" applyNumberFormat="1" applyFont="1" applyAlignment="1">
      <alignment/>
    </xf>
    <xf numFmtId="14" fontId="0" fillId="0" borderId="0" xfId="0" applyNumberFormat="1" applyFont="1" applyAlignment="1">
      <alignment/>
    </xf>
    <xf numFmtId="173" fontId="0" fillId="0" borderId="0" xfId="42" applyNumberFormat="1" applyFont="1" applyAlignment="1">
      <alignment/>
    </xf>
    <xf numFmtId="181" fontId="0" fillId="0" borderId="0" xfId="0" applyNumberFormat="1" applyFont="1" applyAlignment="1">
      <alignment/>
    </xf>
    <xf numFmtId="173" fontId="0" fillId="0" borderId="0" xfId="0" applyNumberFormat="1" applyAlignment="1">
      <alignment/>
    </xf>
    <xf numFmtId="181" fontId="2" fillId="33" borderId="11" xfId="42" applyNumberFormat="1" applyFont="1" applyFill="1" applyBorder="1" applyAlignment="1">
      <alignment horizontal="center" vertical="justify"/>
    </xf>
    <xf numFmtId="181" fontId="1" fillId="33" borderId="11" xfId="42" applyNumberFormat="1" applyFont="1" applyFill="1" applyBorder="1" applyAlignment="1">
      <alignment horizontal="left"/>
    </xf>
    <xf numFmtId="10" fontId="2" fillId="33" borderId="12" xfId="62" applyNumberFormat="1" applyFont="1" applyFill="1" applyBorder="1" applyAlignment="1">
      <alignment horizontal="right" vertical="justify"/>
    </xf>
    <xf numFmtId="10" fontId="1" fillId="33" borderId="12" xfId="62" applyNumberFormat="1" applyFont="1" applyFill="1" applyBorder="1" applyAlignment="1">
      <alignment horizontal="right"/>
    </xf>
    <xf numFmtId="14" fontId="0" fillId="0" borderId="0" xfId="42" applyNumberFormat="1" applyFont="1" applyAlignment="1">
      <alignment/>
    </xf>
    <xf numFmtId="173" fontId="46" fillId="0" borderId="0" xfId="42" applyNumberFormat="1" applyFont="1" applyAlignment="1">
      <alignment/>
    </xf>
    <xf numFmtId="0" fontId="1" fillId="34" borderId="10" xfId="0" applyFont="1" applyFill="1" applyBorder="1" applyAlignment="1">
      <alignment horizontal="left" wrapText="1"/>
    </xf>
    <xf numFmtId="0" fontId="1" fillId="34" borderId="10" xfId="0" applyFont="1" applyFill="1" applyBorder="1" applyAlignment="1">
      <alignment horizontal="left"/>
    </xf>
    <xf numFmtId="43" fontId="1" fillId="0" borderId="10" xfId="42" applyFont="1" applyFill="1" applyBorder="1" applyAlignment="1">
      <alignment horizontal="right"/>
    </xf>
    <xf numFmtId="181" fontId="1" fillId="0" borderId="10" xfId="42" applyNumberFormat="1" applyFont="1" applyFill="1" applyBorder="1" applyAlignment="1">
      <alignment horizontal="right"/>
    </xf>
    <xf numFmtId="181" fontId="1" fillId="34" borderId="10" xfId="42" applyNumberFormat="1" applyFont="1" applyFill="1" applyBorder="1" applyAlignment="1">
      <alignment horizontal="left"/>
    </xf>
    <xf numFmtId="181" fontId="1" fillId="34" borderId="11" xfId="42" applyNumberFormat="1" applyFont="1" applyFill="1" applyBorder="1" applyAlignment="1">
      <alignment horizontal="left"/>
    </xf>
    <xf numFmtId="10" fontId="1" fillId="34" borderId="12" xfId="62" applyNumberFormat="1" applyFont="1" applyFill="1" applyBorder="1" applyAlignment="1">
      <alignment horizontal="right"/>
    </xf>
    <xf numFmtId="181" fontId="1" fillId="34" borderId="11" xfId="42" applyNumberFormat="1" applyFont="1" applyFill="1" applyBorder="1" applyAlignment="1">
      <alignment horizontal="left"/>
    </xf>
    <xf numFmtId="43" fontId="1" fillId="34" borderId="10" xfId="42" applyNumberFormat="1" applyFont="1" applyFill="1" applyBorder="1" applyAlignment="1">
      <alignment horizontal="left"/>
    </xf>
    <xf numFmtId="43" fontId="1" fillId="34" borderId="11" xfId="42" applyNumberFormat="1" applyFont="1" applyFill="1" applyBorder="1" applyAlignment="1">
      <alignment horizontal="left"/>
    </xf>
    <xf numFmtId="181" fontId="2" fillId="34" borderId="10" xfId="42" applyNumberFormat="1" applyFont="1" applyFill="1" applyBorder="1" applyAlignment="1">
      <alignment horizontal="right"/>
    </xf>
    <xf numFmtId="181" fontId="1" fillId="34" borderId="10" xfId="42" applyNumberFormat="1" applyFont="1" applyFill="1" applyBorder="1" applyAlignment="1">
      <alignment horizontal="right"/>
    </xf>
    <xf numFmtId="181" fontId="2" fillId="34" borderId="10" xfId="42" applyNumberFormat="1" applyFont="1" applyFill="1" applyBorder="1" applyAlignment="1">
      <alignment horizontal="right"/>
    </xf>
    <xf numFmtId="181" fontId="1" fillId="34" borderId="10" xfId="42" applyNumberFormat="1" applyFont="1" applyFill="1" applyBorder="1" applyAlignment="1">
      <alignment horizontal="right"/>
    </xf>
    <xf numFmtId="0" fontId="1" fillId="34" borderId="10" xfId="0" applyFont="1" applyFill="1" applyBorder="1" applyAlignment="1" quotePrefix="1">
      <alignment horizontal="left"/>
    </xf>
    <xf numFmtId="10" fontId="1" fillId="34" borderId="10" xfId="62" applyNumberFormat="1" applyFont="1" applyFill="1" applyBorder="1" applyAlignment="1">
      <alignment horizontal="right"/>
    </xf>
    <xf numFmtId="0" fontId="1" fillId="34" borderId="10" xfId="0" applyFont="1" applyFill="1" applyBorder="1" applyAlignment="1">
      <alignment horizontal="left"/>
    </xf>
    <xf numFmtId="10" fontId="2" fillId="34" borderId="10" xfId="62" applyNumberFormat="1" applyFont="1" applyFill="1" applyBorder="1" applyAlignment="1">
      <alignment horizontal="right"/>
    </xf>
    <xf numFmtId="10" fontId="1" fillId="34" borderId="10" xfId="62" applyNumberFormat="1" applyFont="1" applyFill="1" applyBorder="1" applyAlignment="1">
      <alignment horizontal="right"/>
    </xf>
    <xf numFmtId="183" fontId="1" fillId="34" borderId="10" xfId="62" applyNumberFormat="1" applyFont="1" applyFill="1" applyBorder="1" applyAlignment="1">
      <alignment horizontal="right"/>
    </xf>
    <xf numFmtId="43" fontId="1" fillId="34" borderId="10" xfId="42" applyFont="1" applyFill="1" applyBorder="1" applyAlignment="1">
      <alignment horizontal="right"/>
    </xf>
    <xf numFmtId="0" fontId="1" fillId="34" borderId="10" xfId="0" applyFont="1" applyFill="1" applyBorder="1" applyAlignment="1">
      <alignment horizontal="left" indent="1"/>
    </xf>
    <xf numFmtId="0" fontId="2" fillId="34" borderId="10" xfId="0" applyFont="1" applyFill="1" applyBorder="1" applyAlignment="1">
      <alignment horizontal="left"/>
    </xf>
    <xf numFmtId="181" fontId="2" fillId="34" borderId="10" xfId="42" applyNumberFormat="1" applyFont="1" applyFill="1" applyBorder="1" applyAlignment="1">
      <alignment horizontal="left"/>
    </xf>
    <xf numFmtId="0" fontId="6" fillId="0" borderId="0" xfId="0" applyFont="1" applyAlignment="1">
      <alignment/>
    </xf>
    <xf numFmtId="181" fontId="6" fillId="0" borderId="0" xfId="62" applyNumberFormat="1" applyFont="1" applyAlignment="1">
      <alignment/>
    </xf>
    <xf numFmtId="181" fontId="6" fillId="0" borderId="0" xfId="42" applyNumberFormat="1" applyFont="1" applyAlignment="1">
      <alignment/>
    </xf>
    <xf numFmtId="10" fontId="0" fillId="0" borderId="0" xfId="0" applyNumberFormat="1" applyFont="1" applyAlignment="1">
      <alignment/>
    </xf>
    <xf numFmtId="0" fontId="1" fillId="0" borderId="0" xfId="0" applyFont="1" applyFill="1" applyAlignment="1">
      <alignment horizontal="left"/>
    </xf>
    <xf numFmtId="0" fontId="3" fillId="0" borderId="0" xfId="0" applyFont="1" applyFill="1" applyAlignment="1">
      <alignment horizontal="center" vertical="justify"/>
    </xf>
    <xf numFmtId="0" fontId="2" fillId="33" borderId="10" xfId="0" applyFont="1" applyFill="1" applyBorder="1" applyAlignment="1">
      <alignment horizontal="center" vertical="justify"/>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C35"/>
  <sheetViews>
    <sheetView tabSelected="1" zoomScalePageLayoutView="0" workbookViewId="0" topLeftCell="A1">
      <selection activeCell="G17" sqref="G17"/>
    </sheetView>
  </sheetViews>
  <sheetFormatPr defaultColWidth="8.7109375" defaultRowHeight="12.75"/>
  <cols>
    <col min="1" max="1" width="7.8515625" style="22" customWidth="1"/>
    <col min="2" max="2" width="90.00390625" style="22" customWidth="1"/>
    <col min="3" max="3" width="33.421875" style="22" customWidth="1"/>
    <col min="4" max="16384" width="8.7109375" style="22" customWidth="1"/>
  </cols>
  <sheetData>
    <row r="1" spans="1:3" ht="34.5" customHeight="1">
      <c r="A1" s="21" t="s">
        <v>0</v>
      </c>
      <c r="B1" s="72" t="s">
        <v>1</v>
      </c>
      <c r="C1" s="72"/>
    </row>
    <row r="2" spans="1:3" ht="15" customHeight="1">
      <c r="A2" s="21" t="s">
        <v>0</v>
      </c>
      <c r="B2" s="21" t="s">
        <v>0</v>
      </c>
      <c r="C2" s="21" t="s">
        <v>0</v>
      </c>
    </row>
    <row r="3" spans="1:3" ht="15" customHeight="1">
      <c r="A3" s="21" t="s">
        <v>0</v>
      </c>
      <c r="B3" s="23" t="s">
        <v>2</v>
      </c>
      <c r="C3" s="21" t="s">
        <v>384</v>
      </c>
    </row>
    <row r="4" spans="1:3" ht="15" customHeight="1">
      <c r="A4" s="21" t="s">
        <v>0</v>
      </c>
      <c r="B4" s="23" t="s">
        <v>3</v>
      </c>
      <c r="C4" s="21">
        <v>7</v>
      </c>
    </row>
    <row r="5" spans="1:3" ht="15" customHeight="1">
      <c r="A5" s="21" t="s">
        <v>0</v>
      </c>
      <c r="B5" s="23" t="s">
        <v>4</v>
      </c>
      <c r="C5" s="21">
        <v>2024</v>
      </c>
    </row>
    <row r="6" spans="1:3" ht="15" customHeight="1">
      <c r="A6" s="21"/>
      <c r="B6" s="21"/>
      <c r="C6" s="21"/>
    </row>
    <row r="7" spans="1:3" ht="15" customHeight="1">
      <c r="A7" s="71" t="s">
        <v>385</v>
      </c>
      <c r="B7" s="71"/>
      <c r="C7" s="71"/>
    </row>
    <row r="8" spans="1:3" ht="15" customHeight="1">
      <c r="A8" s="71" t="s">
        <v>386</v>
      </c>
      <c r="B8" s="71"/>
      <c r="C8" s="71"/>
    </row>
    <row r="9" spans="1:3" ht="15" customHeight="1">
      <c r="A9" s="71" t="s">
        <v>387</v>
      </c>
      <c r="B9" s="71"/>
      <c r="C9" s="71"/>
    </row>
    <row r="10" spans="1:3" ht="15" customHeight="1">
      <c r="A10" s="71" t="s">
        <v>431</v>
      </c>
      <c r="B10" s="71"/>
      <c r="C10" s="71"/>
    </row>
    <row r="11" spans="1:3" ht="15" customHeight="1">
      <c r="A11" s="21"/>
      <c r="B11" s="21"/>
      <c r="C11" s="21"/>
    </row>
    <row r="12" spans="1:3" ht="15" customHeight="1">
      <c r="A12" s="21" t="s">
        <v>0</v>
      </c>
      <c r="B12" s="21" t="s">
        <v>0</v>
      </c>
      <c r="C12" s="21" t="s">
        <v>5</v>
      </c>
    </row>
    <row r="13" spans="1:3" ht="15" customHeight="1">
      <c r="A13" s="24" t="s">
        <v>6</v>
      </c>
      <c r="B13" s="24" t="s">
        <v>7</v>
      </c>
      <c r="C13" s="24" t="s">
        <v>8</v>
      </c>
    </row>
    <row r="14" spans="1:3" ht="15" customHeight="1">
      <c r="A14" s="25" t="s">
        <v>9</v>
      </c>
      <c r="B14" s="26" t="s">
        <v>10</v>
      </c>
      <c r="C14" s="26" t="s">
        <v>11</v>
      </c>
    </row>
    <row r="15" spans="1:3" ht="15" customHeight="1">
      <c r="A15" s="25" t="s">
        <v>12</v>
      </c>
      <c r="B15" s="26" t="s">
        <v>13</v>
      </c>
      <c r="C15" s="26" t="s">
        <v>14</v>
      </c>
    </row>
    <row r="16" spans="1:3" ht="15" customHeight="1">
      <c r="A16" s="25" t="s">
        <v>15</v>
      </c>
      <c r="B16" s="26" t="s">
        <v>16</v>
      </c>
      <c r="C16" s="26" t="s">
        <v>17</v>
      </c>
    </row>
    <row r="17" spans="1:3" ht="15" customHeight="1">
      <c r="A17" s="25" t="s">
        <v>18</v>
      </c>
      <c r="B17" s="26" t="s">
        <v>19</v>
      </c>
      <c r="C17" s="26" t="s">
        <v>20</v>
      </c>
    </row>
    <row r="18" spans="1:3" ht="15" customHeight="1">
      <c r="A18" s="25" t="s">
        <v>21</v>
      </c>
      <c r="B18" s="26" t="s">
        <v>22</v>
      </c>
      <c r="C18" s="26" t="s">
        <v>23</v>
      </c>
    </row>
    <row r="19" spans="1:3" ht="15" customHeight="1">
      <c r="A19" s="25" t="s">
        <v>24</v>
      </c>
      <c r="B19" s="26" t="s">
        <v>25</v>
      </c>
      <c r="C19" s="26" t="s">
        <v>26</v>
      </c>
    </row>
    <row r="20" spans="1:3" ht="15" customHeight="1">
      <c r="A20" s="25" t="s">
        <v>27</v>
      </c>
      <c r="B20" s="26" t="s">
        <v>28</v>
      </c>
      <c r="C20" s="26" t="s">
        <v>29</v>
      </c>
    </row>
    <row r="21" spans="1:3" ht="15" customHeight="1">
      <c r="A21" s="25" t="s">
        <v>30</v>
      </c>
      <c r="B21" s="26" t="s">
        <v>31</v>
      </c>
      <c r="C21" s="26" t="s">
        <v>32</v>
      </c>
    </row>
    <row r="22" spans="1:3" ht="15" customHeight="1">
      <c r="A22" s="25" t="s">
        <v>33</v>
      </c>
      <c r="B22" s="26" t="s">
        <v>34</v>
      </c>
      <c r="C22" s="26" t="s">
        <v>35</v>
      </c>
    </row>
    <row r="23" spans="1:3" ht="15" customHeight="1">
      <c r="A23" s="25" t="s">
        <v>36</v>
      </c>
      <c r="B23" s="26" t="s">
        <v>37</v>
      </c>
      <c r="C23" s="26" t="s">
        <v>38</v>
      </c>
    </row>
    <row r="24" spans="1:3" ht="15" customHeight="1">
      <c r="A24" s="25" t="s">
        <v>39</v>
      </c>
      <c r="B24" s="26" t="s">
        <v>40</v>
      </c>
      <c r="C24" s="26" t="s">
        <v>41</v>
      </c>
    </row>
    <row r="25" spans="1:3" ht="15" customHeight="1">
      <c r="A25" s="25" t="s">
        <v>42</v>
      </c>
      <c r="B25" s="26" t="s">
        <v>43</v>
      </c>
      <c r="C25" s="26" t="s">
        <v>44</v>
      </c>
    </row>
    <row r="26" spans="1:3" ht="15" customHeight="1">
      <c r="A26" s="27" t="s">
        <v>45</v>
      </c>
      <c r="B26" s="21"/>
      <c r="C26" s="21" t="s">
        <v>0</v>
      </c>
    </row>
    <row r="27" spans="1:3" ht="15" customHeight="1">
      <c r="A27" s="21" t="s">
        <v>0</v>
      </c>
      <c r="B27" s="71" t="s">
        <v>46</v>
      </c>
      <c r="C27" s="71"/>
    </row>
    <row r="28" spans="1:3" ht="15" customHeight="1">
      <c r="A28" s="21" t="s">
        <v>0</v>
      </c>
      <c r="B28" s="71" t="s">
        <v>47</v>
      </c>
      <c r="C28" s="71"/>
    </row>
    <row r="29" spans="1:3" ht="15" customHeight="1">
      <c r="A29" s="21" t="s">
        <v>0</v>
      </c>
      <c r="B29" s="21" t="s">
        <v>48</v>
      </c>
      <c r="C29" s="21" t="s">
        <v>0</v>
      </c>
    </row>
    <row r="30" spans="1:3" ht="15" customHeight="1">
      <c r="A30" s="21" t="s">
        <v>0</v>
      </c>
      <c r="B30" s="21" t="s">
        <v>0</v>
      </c>
      <c r="C30" s="21" t="s">
        <v>0</v>
      </c>
    </row>
    <row r="31" spans="1:3" ht="15" customHeight="1">
      <c r="A31" s="21" t="s">
        <v>0</v>
      </c>
      <c r="B31" s="21" t="s">
        <v>0</v>
      </c>
      <c r="C31" s="21" t="s">
        <v>0</v>
      </c>
    </row>
    <row r="32" spans="1:3" ht="15" customHeight="1">
      <c r="A32" s="21" t="s">
        <v>0</v>
      </c>
      <c r="B32" s="28" t="s">
        <v>49</v>
      </c>
      <c r="C32" s="28" t="s">
        <v>50</v>
      </c>
    </row>
    <row r="33" spans="1:3" ht="15" customHeight="1">
      <c r="A33" s="29" t="s">
        <v>0</v>
      </c>
      <c r="B33" s="28" t="s">
        <v>51</v>
      </c>
      <c r="C33" s="28" t="s">
        <v>52</v>
      </c>
    </row>
    <row r="34" spans="1:3" ht="15" customHeight="1">
      <c r="A34" s="21" t="s">
        <v>0</v>
      </c>
      <c r="B34" s="30" t="s">
        <v>53</v>
      </c>
      <c r="C34" s="30" t="s">
        <v>53</v>
      </c>
    </row>
    <row r="35" spans="1:3" ht="15" customHeight="1">
      <c r="A35" s="21" t="s">
        <v>0</v>
      </c>
      <c r="B35" s="30" t="s">
        <v>0</v>
      </c>
      <c r="C35" s="30" t="s">
        <v>0</v>
      </c>
    </row>
  </sheetData>
  <sheetProtection/>
  <mergeCells count="7">
    <mergeCell ref="B27:C27"/>
    <mergeCell ref="B28:C28"/>
    <mergeCell ref="B1:C1"/>
    <mergeCell ref="A8:C8"/>
    <mergeCell ref="A9:C9"/>
    <mergeCell ref="A10:C10"/>
    <mergeCell ref="A7:C7"/>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H15"/>
  <sheetViews>
    <sheetView zoomScalePageLayoutView="0" workbookViewId="0" topLeftCell="A1">
      <selection activeCell="E31" sqref="E31"/>
    </sheetView>
  </sheetViews>
  <sheetFormatPr defaultColWidth="9.140625" defaultRowHeight="12.75"/>
  <cols>
    <col min="1" max="1" width="6.8515625" style="0" customWidth="1"/>
    <col min="2" max="2" width="52.8515625" style="0" customWidth="1"/>
    <col min="3" max="3" width="14.28125" style="0" customWidth="1"/>
    <col min="4" max="7" width="20.8515625" style="0" customWidth="1"/>
    <col min="8" max="8" width="15.57421875" style="0" customWidth="1"/>
  </cols>
  <sheetData>
    <row r="1" spans="1:8" ht="15" customHeight="1">
      <c r="A1" s="73" t="s">
        <v>6</v>
      </c>
      <c r="B1" s="73" t="s">
        <v>122</v>
      </c>
      <c r="C1" s="73" t="s">
        <v>55</v>
      </c>
      <c r="D1" s="73" t="s">
        <v>56</v>
      </c>
      <c r="E1" s="73"/>
      <c r="F1" s="73" t="s">
        <v>57</v>
      </c>
      <c r="G1" s="73"/>
      <c r="H1" s="73" t="s">
        <v>123</v>
      </c>
    </row>
    <row r="2" spans="1:8" ht="15" customHeight="1">
      <c r="A2" s="73"/>
      <c r="B2" s="73"/>
      <c r="C2" s="73"/>
      <c r="D2" s="2" t="s">
        <v>323</v>
      </c>
      <c r="E2" s="2" t="s">
        <v>329</v>
      </c>
      <c r="F2" s="2" t="s">
        <v>323</v>
      </c>
      <c r="G2" s="2" t="s">
        <v>329</v>
      </c>
      <c r="H2" s="73"/>
    </row>
    <row r="3" spans="1:8" ht="15" customHeight="1">
      <c r="A3" s="4" t="s">
        <v>59</v>
      </c>
      <c r="B3" s="4" t="s">
        <v>348</v>
      </c>
      <c r="C3" s="1" t="s">
        <v>341</v>
      </c>
      <c r="D3" s="4"/>
      <c r="E3" s="4"/>
      <c r="F3" s="4"/>
      <c r="G3" s="4"/>
      <c r="H3" s="4"/>
    </row>
    <row r="4" spans="1:8" ht="15" customHeight="1">
      <c r="A4" s="1" t="s">
        <v>311</v>
      </c>
      <c r="B4" s="1" t="s">
        <v>77</v>
      </c>
      <c r="C4" s="1" t="s">
        <v>343</v>
      </c>
      <c r="D4" s="1"/>
      <c r="E4" s="1"/>
      <c r="F4" s="1"/>
      <c r="G4" s="1"/>
      <c r="H4" s="1"/>
    </row>
    <row r="5" spans="1:8" ht="15" customHeight="1">
      <c r="A5" s="1" t="s">
        <v>311</v>
      </c>
      <c r="B5" s="1" t="s">
        <v>80</v>
      </c>
      <c r="C5" s="1" t="s">
        <v>345</v>
      </c>
      <c r="D5" s="1"/>
      <c r="E5" s="1"/>
      <c r="F5" s="1"/>
      <c r="G5" s="1"/>
      <c r="H5" s="1"/>
    </row>
    <row r="6" spans="1:8" ht="15" customHeight="1">
      <c r="A6" s="1" t="s">
        <v>311</v>
      </c>
      <c r="B6" s="1" t="s">
        <v>349</v>
      </c>
      <c r="C6" s="1" t="s">
        <v>347</v>
      </c>
      <c r="D6" s="1"/>
      <c r="E6" s="1"/>
      <c r="F6" s="1"/>
      <c r="G6" s="1"/>
      <c r="H6" s="1"/>
    </row>
    <row r="7" spans="1:8" ht="15" customHeight="1">
      <c r="A7" s="1" t="s">
        <v>72</v>
      </c>
      <c r="B7" s="1" t="s">
        <v>72</v>
      </c>
      <c r="C7" s="1" t="s">
        <v>72</v>
      </c>
      <c r="D7" s="1" t="s">
        <v>72</v>
      </c>
      <c r="E7" s="1" t="s">
        <v>72</v>
      </c>
      <c r="F7" s="1" t="s">
        <v>72</v>
      </c>
      <c r="G7" s="1" t="s">
        <v>72</v>
      </c>
      <c r="H7" s="1" t="s">
        <v>72</v>
      </c>
    </row>
    <row r="8" spans="1:8" ht="15" customHeight="1">
      <c r="A8" s="4" t="s">
        <v>132</v>
      </c>
      <c r="B8" s="4" t="s">
        <v>350</v>
      </c>
      <c r="C8" s="1" t="s">
        <v>351</v>
      </c>
      <c r="D8" s="4"/>
      <c r="E8" s="4"/>
      <c r="F8" s="4"/>
      <c r="G8" s="4"/>
      <c r="H8" s="4"/>
    </row>
    <row r="9" spans="1:8" ht="15" customHeight="1">
      <c r="A9" s="1" t="s">
        <v>311</v>
      </c>
      <c r="B9" s="1" t="s">
        <v>352</v>
      </c>
      <c r="C9" s="1" t="s">
        <v>353</v>
      </c>
      <c r="D9" s="1"/>
      <c r="E9" s="1"/>
      <c r="F9" s="1"/>
      <c r="G9" s="1"/>
      <c r="H9" s="1"/>
    </row>
    <row r="10" spans="1:8" ht="15" customHeight="1">
      <c r="A10" s="1" t="s">
        <v>311</v>
      </c>
      <c r="B10" s="1" t="s">
        <v>354</v>
      </c>
      <c r="C10" s="1" t="s">
        <v>355</v>
      </c>
      <c r="D10" s="1"/>
      <c r="E10" s="1"/>
      <c r="F10" s="1"/>
      <c r="G10" s="1"/>
      <c r="H10" s="1"/>
    </row>
    <row r="11" spans="1:8" ht="15" customHeight="1">
      <c r="A11" s="1" t="s">
        <v>72</v>
      </c>
      <c r="B11" s="1" t="s">
        <v>72</v>
      </c>
      <c r="C11" s="1" t="s">
        <v>72</v>
      </c>
      <c r="D11" s="1" t="s">
        <v>72</v>
      </c>
      <c r="E11" s="1" t="s">
        <v>72</v>
      </c>
      <c r="F11" s="1" t="s">
        <v>72</v>
      </c>
      <c r="G11" s="1" t="s">
        <v>72</v>
      </c>
      <c r="H11" s="1" t="s">
        <v>72</v>
      </c>
    </row>
    <row r="12" spans="1:8" ht="15" customHeight="1">
      <c r="A12" s="4" t="s">
        <v>153</v>
      </c>
      <c r="B12" s="4" t="s">
        <v>356</v>
      </c>
      <c r="C12" s="1" t="s">
        <v>357</v>
      </c>
      <c r="D12" s="4"/>
      <c r="E12" s="4"/>
      <c r="F12" s="4"/>
      <c r="G12" s="4"/>
      <c r="H12" s="4"/>
    </row>
    <row r="13" spans="1:8" ht="15" customHeight="1">
      <c r="A13" s="4" t="s">
        <v>156</v>
      </c>
      <c r="B13" s="4" t="s">
        <v>358</v>
      </c>
      <c r="C13" s="1" t="s">
        <v>359</v>
      </c>
      <c r="D13" s="4"/>
      <c r="E13" s="4"/>
      <c r="F13" s="4"/>
      <c r="G13" s="4"/>
      <c r="H13" s="4"/>
    </row>
    <row r="14" spans="1:8" ht="15" customHeight="1">
      <c r="A14" s="1" t="s">
        <v>311</v>
      </c>
      <c r="B14" s="1" t="s">
        <v>360</v>
      </c>
      <c r="C14" s="1" t="s">
        <v>361</v>
      </c>
      <c r="D14" s="1"/>
      <c r="E14" s="1"/>
      <c r="F14" s="1"/>
      <c r="G14" s="1"/>
      <c r="H14" s="1"/>
    </row>
    <row r="15" spans="1:8" ht="15" customHeight="1">
      <c r="A15" s="1" t="s">
        <v>311</v>
      </c>
      <c r="B15" s="1" t="s">
        <v>161</v>
      </c>
      <c r="C15" s="1" t="s">
        <v>361</v>
      </c>
      <c r="D15" s="1"/>
      <c r="E15" s="1"/>
      <c r="F15" s="1"/>
      <c r="G15" s="1"/>
      <c r="H15"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21"/>
  <sheetViews>
    <sheetView zoomScalePageLayoutView="0" workbookViewId="0" topLeftCell="A1">
      <selection activeCell="A1" sqref="A1:A2"/>
    </sheetView>
  </sheetViews>
  <sheetFormatPr defaultColWidth="9.140625" defaultRowHeight="12.75"/>
  <cols>
    <col min="1" max="1" width="6.8515625" style="0" customWidth="1"/>
    <col min="2" max="2" width="33.00390625" style="0" customWidth="1"/>
    <col min="3" max="3" width="10.140625" style="0" customWidth="1"/>
    <col min="4" max="4" width="20.421875" style="0" customWidth="1"/>
    <col min="5" max="5" width="22.421875" style="0" customWidth="1"/>
    <col min="6" max="7" width="20.421875" style="0" customWidth="1"/>
    <col min="8" max="8" width="21.7109375" style="0" customWidth="1"/>
    <col min="9" max="9" width="20.421875" style="0" customWidth="1"/>
  </cols>
  <sheetData>
    <row r="1" spans="1:9" ht="15" customHeight="1">
      <c r="A1" s="73" t="s">
        <v>6</v>
      </c>
      <c r="B1" s="73" t="s">
        <v>362</v>
      </c>
      <c r="C1" s="73" t="s">
        <v>55</v>
      </c>
      <c r="D1" s="73" t="s">
        <v>189</v>
      </c>
      <c r="E1" s="73" t="s">
        <v>190</v>
      </c>
      <c r="F1" s="73"/>
      <c r="G1" s="73" t="s">
        <v>191</v>
      </c>
      <c r="H1" s="73"/>
      <c r="I1" s="73" t="s">
        <v>363</v>
      </c>
    </row>
    <row r="2" spans="1:9" ht="15" customHeight="1">
      <c r="A2" s="73"/>
      <c r="B2" s="73"/>
      <c r="C2" s="73"/>
      <c r="D2" s="73"/>
      <c r="E2" s="2" t="s">
        <v>323</v>
      </c>
      <c r="F2" s="2" t="s">
        <v>329</v>
      </c>
      <c r="G2" s="2" t="s">
        <v>323</v>
      </c>
      <c r="H2" s="2" t="s">
        <v>329</v>
      </c>
      <c r="I2" s="73"/>
    </row>
    <row r="3" spans="1:9" ht="15" customHeight="1">
      <c r="A3" s="4" t="s">
        <v>59</v>
      </c>
      <c r="B3" s="4" t="s">
        <v>364</v>
      </c>
      <c r="C3" s="1" t="s">
        <v>365</v>
      </c>
      <c r="D3" s="4"/>
      <c r="E3" s="4"/>
      <c r="F3" s="4"/>
      <c r="G3" s="4"/>
      <c r="H3" s="4"/>
      <c r="I3" s="4"/>
    </row>
    <row r="4" spans="1:9" ht="15" customHeight="1">
      <c r="A4" s="1" t="s">
        <v>72</v>
      </c>
      <c r="B4" s="1" t="s">
        <v>72</v>
      </c>
      <c r="C4" s="1" t="s">
        <v>72</v>
      </c>
      <c r="D4" s="1" t="s">
        <v>72</v>
      </c>
      <c r="E4" s="1" t="s">
        <v>72</v>
      </c>
      <c r="F4" s="1" t="s">
        <v>72</v>
      </c>
      <c r="G4" s="1" t="s">
        <v>72</v>
      </c>
      <c r="H4" s="1" t="s">
        <v>72</v>
      </c>
      <c r="I4" s="1" t="s">
        <v>72</v>
      </c>
    </row>
    <row r="5" spans="1:9" ht="15" customHeight="1">
      <c r="A5" s="1" t="s">
        <v>311</v>
      </c>
      <c r="B5" s="1" t="s">
        <v>195</v>
      </c>
      <c r="C5" s="1" t="s">
        <v>366</v>
      </c>
      <c r="D5" s="1"/>
      <c r="E5" s="1"/>
      <c r="F5" s="1"/>
      <c r="G5" s="1"/>
      <c r="H5" s="1"/>
      <c r="I5" s="1"/>
    </row>
    <row r="6" spans="1:9" ht="15" customHeight="1">
      <c r="A6" s="4" t="s">
        <v>132</v>
      </c>
      <c r="B6" s="4" t="s">
        <v>367</v>
      </c>
      <c r="C6" s="1" t="s">
        <v>368</v>
      </c>
      <c r="D6" s="4"/>
      <c r="E6" s="4"/>
      <c r="F6" s="4"/>
      <c r="G6" s="4"/>
      <c r="H6" s="4"/>
      <c r="I6" s="4"/>
    </row>
    <row r="7" spans="1:9" ht="15" customHeight="1">
      <c r="A7" s="1" t="s">
        <v>72</v>
      </c>
      <c r="B7" s="1" t="s">
        <v>72</v>
      </c>
      <c r="C7" s="1" t="s">
        <v>72</v>
      </c>
      <c r="D7" s="1" t="s">
        <v>72</v>
      </c>
      <c r="E7" s="1" t="s">
        <v>72</v>
      </c>
      <c r="F7" s="1" t="s">
        <v>72</v>
      </c>
      <c r="G7" s="1" t="s">
        <v>72</v>
      </c>
      <c r="H7" s="1" t="s">
        <v>72</v>
      </c>
      <c r="I7" s="1" t="s">
        <v>72</v>
      </c>
    </row>
    <row r="8" spans="1:9" ht="15" customHeight="1">
      <c r="A8" s="1" t="s">
        <v>311</v>
      </c>
      <c r="B8" s="1" t="s">
        <v>195</v>
      </c>
      <c r="C8" s="1" t="s">
        <v>369</v>
      </c>
      <c r="D8" s="1"/>
      <c r="E8" s="1"/>
      <c r="F8" s="1"/>
      <c r="G8" s="1"/>
      <c r="H8" s="1"/>
      <c r="I8" s="1"/>
    </row>
    <row r="9" spans="1:9" ht="15" customHeight="1">
      <c r="A9" s="4" t="s">
        <v>153</v>
      </c>
      <c r="B9" s="4" t="s">
        <v>370</v>
      </c>
      <c r="C9" s="1" t="s">
        <v>371</v>
      </c>
      <c r="D9" s="4"/>
      <c r="E9" s="4"/>
      <c r="F9" s="4"/>
      <c r="G9" s="4"/>
      <c r="H9" s="4"/>
      <c r="I9" s="4"/>
    </row>
    <row r="10" spans="1:9" ht="15" customHeight="1">
      <c r="A10" s="1" t="s">
        <v>72</v>
      </c>
      <c r="B10" s="1" t="s">
        <v>72</v>
      </c>
      <c r="C10" s="1" t="s">
        <v>72</v>
      </c>
      <c r="D10" s="1" t="s">
        <v>72</v>
      </c>
      <c r="E10" s="1" t="s">
        <v>72</v>
      </c>
      <c r="F10" s="1" t="s">
        <v>72</v>
      </c>
      <c r="G10" s="1" t="s">
        <v>72</v>
      </c>
      <c r="H10" s="1" t="s">
        <v>72</v>
      </c>
      <c r="I10" s="1" t="s">
        <v>72</v>
      </c>
    </row>
    <row r="11" spans="1:9" ht="15" customHeight="1">
      <c r="A11" s="1" t="s">
        <v>311</v>
      </c>
      <c r="B11" s="1" t="s">
        <v>195</v>
      </c>
      <c r="C11" s="1" t="s">
        <v>372</v>
      </c>
      <c r="D11" s="1"/>
      <c r="E11" s="1"/>
      <c r="F11" s="1"/>
      <c r="G11" s="1"/>
      <c r="H11" s="1"/>
      <c r="I11" s="1"/>
    </row>
    <row r="12" spans="1:9" ht="15" customHeight="1">
      <c r="A12" s="4" t="s">
        <v>156</v>
      </c>
      <c r="B12" s="4" t="s">
        <v>373</v>
      </c>
      <c r="C12" s="1" t="s">
        <v>374</v>
      </c>
      <c r="D12" s="4"/>
      <c r="E12" s="4"/>
      <c r="F12" s="4"/>
      <c r="G12" s="4"/>
      <c r="H12" s="4"/>
      <c r="I12" s="4"/>
    </row>
    <row r="13" spans="1:9" ht="15" customHeight="1">
      <c r="A13" s="1" t="s">
        <v>72</v>
      </c>
      <c r="B13" s="1" t="s">
        <v>72</v>
      </c>
      <c r="C13" s="1" t="s">
        <v>72</v>
      </c>
      <c r="D13" s="1" t="s">
        <v>72</v>
      </c>
      <c r="E13" s="1" t="s">
        <v>72</v>
      </c>
      <c r="F13" s="1" t="s">
        <v>72</v>
      </c>
      <c r="G13" s="1" t="s">
        <v>72</v>
      </c>
      <c r="H13" s="1" t="s">
        <v>72</v>
      </c>
      <c r="I13" s="1" t="s">
        <v>72</v>
      </c>
    </row>
    <row r="14" spans="1:9" ht="15" customHeight="1">
      <c r="A14" s="1" t="s">
        <v>311</v>
      </c>
      <c r="B14" s="1" t="s">
        <v>195</v>
      </c>
      <c r="C14" s="1" t="s">
        <v>375</v>
      </c>
      <c r="D14" s="1"/>
      <c r="E14" s="1"/>
      <c r="F14" s="1"/>
      <c r="G14" s="1"/>
      <c r="H14" s="1"/>
      <c r="I14" s="1"/>
    </row>
    <row r="15" spans="1:9" ht="15" customHeight="1">
      <c r="A15" s="4" t="s">
        <v>163</v>
      </c>
      <c r="B15" s="4" t="s">
        <v>376</v>
      </c>
      <c r="C15" s="1" t="s">
        <v>377</v>
      </c>
      <c r="D15" s="4"/>
      <c r="E15" s="4"/>
      <c r="F15" s="4"/>
      <c r="G15" s="4"/>
      <c r="H15" s="4"/>
      <c r="I15" s="4"/>
    </row>
    <row r="16" spans="1:9" ht="15" customHeight="1">
      <c r="A16" s="1" t="s">
        <v>72</v>
      </c>
      <c r="B16" s="1" t="s">
        <v>72</v>
      </c>
      <c r="C16" s="1" t="s">
        <v>72</v>
      </c>
      <c r="D16" s="1" t="s">
        <v>72</v>
      </c>
      <c r="E16" s="1" t="s">
        <v>72</v>
      </c>
      <c r="F16" s="1" t="s">
        <v>72</v>
      </c>
      <c r="G16" s="1" t="s">
        <v>72</v>
      </c>
      <c r="H16" s="1" t="s">
        <v>72</v>
      </c>
      <c r="I16" s="1" t="s">
        <v>72</v>
      </c>
    </row>
    <row r="17" spans="1:9" ht="15" customHeight="1">
      <c r="A17" s="1" t="s">
        <v>311</v>
      </c>
      <c r="B17" s="1" t="s">
        <v>195</v>
      </c>
      <c r="C17" s="1" t="s">
        <v>378</v>
      </c>
      <c r="D17" s="1"/>
      <c r="E17" s="1"/>
      <c r="F17" s="1"/>
      <c r="G17" s="1"/>
      <c r="H17" s="1"/>
      <c r="I17" s="1"/>
    </row>
    <row r="18" spans="1:9" ht="15" customHeight="1">
      <c r="A18" s="4" t="s">
        <v>166</v>
      </c>
      <c r="B18" s="4" t="s">
        <v>379</v>
      </c>
      <c r="C18" s="1" t="s">
        <v>380</v>
      </c>
      <c r="D18" s="4"/>
      <c r="E18" s="4"/>
      <c r="F18" s="4"/>
      <c r="G18" s="4"/>
      <c r="H18" s="4"/>
      <c r="I18" s="4"/>
    </row>
    <row r="19" spans="1:9" ht="15" customHeight="1">
      <c r="A19" s="1" t="s">
        <v>72</v>
      </c>
      <c r="B19" s="1" t="s">
        <v>72</v>
      </c>
      <c r="C19" s="1" t="s">
        <v>72</v>
      </c>
      <c r="D19" s="1" t="s">
        <v>72</v>
      </c>
      <c r="E19" s="1" t="s">
        <v>72</v>
      </c>
      <c r="F19" s="1" t="s">
        <v>72</v>
      </c>
      <c r="G19" s="1" t="s">
        <v>72</v>
      </c>
      <c r="H19" s="1" t="s">
        <v>72</v>
      </c>
      <c r="I19" s="1" t="s">
        <v>72</v>
      </c>
    </row>
    <row r="20" spans="1:9" ht="15" customHeight="1">
      <c r="A20" s="1" t="s">
        <v>311</v>
      </c>
      <c r="B20" s="1" t="s">
        <v>195</v>
      </c>
      <c r="C20" s="1" t="s">
        <v>381</v>
      </c>
      <c r="D20" s="1"/>
      <c r="E20" s="1"/>
      <c r="F20" s="1"/>
      <c r="G20" s="1"/>
      <c r="H20" s="1"/>
      <c r="I20" s="1"/>
    </row>
    <row r="21" spans="1:9" ht="15" customHeight="1">
      <c r="A21" s="4" t="s">
        <v>169</v>
      </c>
      <c r="B21" s="4" t="s">
        <v>382</v>
      </c>
      <c r="C21" s="1" t="s">
        <v>383</v>
      </c>
      <c r="D21" s="4"/>
      <c r="E21" s="4"/>
      <c r="F21" s="4"/>
      <c r="G21" s="4"/>
      <c r="H21" s="4"/>
      <c r="I21" s="4"/>
    </row>
  </sheetData>
  <sheetProtection/>
  <mergeCells count="7">
    <mergeCell ref="A1:A2"/>
    <mergeCell ref="B1:B2"/>
    <mergeCell ref="D1:D2"/>
    <mergeCell ref="E1:F1"/>
    <mergeCell ref="G1:H1"/>
    <mergeCell ref="I1:I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A820"/>
  <sheetViews>
    <sheetView zoomScalePageLayoutView="0" workbookViewId="0" topLeftCell="A1">
      <selection activeCell="A1" sqref="A1"/>
    </sheetView>
  </sheetViews>
  <sheetFormatPr defaultColWidth="9.140625" defaultRowHeight="12.75"/>
  <sheetData>
    <row r="1" ht="12.75">
      <c r="A1" t="str">
        <f>CONCATENATE("{'SheetId':'05a3e0c8-b8c2-4245-bdc5-cb015cdcc9dd'",",","'UId':'b8ec2abb-1f34-4d76-a1bc-deea24deb5ab'",",'Col':",COLUMN(BCTaiSan_06116!D2),",'Row':",ROW(BCTaiSan_06116!D2),",","'Format':'numberic'",",'Value':'",SUBSTITUTE(BCTaiSan_06116!D2,"'","\'"),"','TargetCode':''}")</f>
        <v>{'SheetId':'05a3e0c8-b8c2-4245-bdc5-cb015cdcc9dd','UId':'b8ec2abb-1f34-4d76-a1bc-deea24deb5ab','Col':4,'Row':2,'Format':'numberic','Value':' ','TargetCode':''}</v>
      </c>
    </row>
    <row r="2" ht="12.75">
      <c r="A2" t="str">
        <f>CONCATENATE("{'SheetId':'05a3e0c8-b8c2-4245-bdc5-cb015cdcc9dd'",",","'UId':'57e8e414-c7e8-4bdf-9cc8-c8ef51e90476'",",'Col':",COLUMN(BCTaiSan_06116!E2),",'Row':",ROW(BCTaiSan_06116!E2),",","'Format':'numberic'",",'Value':'",SUBSTITUTE(BCTaiSan_06116!E2,"'","\'"),"','TargetCode':''}")</f>
        <v>{'SheetId':'05a3e0c8-b8c2-4245-bdc5-cb015cdcc9dd','UId':'57e8e414-c7e8-4bdf-9cc8-c8ef51e90476','Col':5,'Row':2,'Format':'numberic','Value':' ','TargetCode':''}</v>
      </c>
    </row>
    <row r="3" ht="12.75">
      <c r="A3" t="str">
        <f>CONCATENATE("{'SheetId':'05a3e0c8-b8c2-4245-bdc5-cb015cdcc9dd'",",","'UId':'f3d4030b-a7df-4dd8-ab5d-84119d6dcbad'",",'Col':",COLUMN(BCTaiSan_06116!F2),",'Row':",ROW(BCTaiSan_06116!F2),",","'Format':'numberic'",",'Value':'",SUBSTITUTE(BCTaiSan_06116!F2,"'","\'"),"','TargetCode':''}")</f>
        <v>{'SheetId':'05a3e0c8-b8c2-4245-bdc5-cb015cdcc9dd','UId':'f3d4030b-a7df-4dd8-ab5d-84119d6dcbad','Col':6,'Row':2,'Format':'numberic','Value':' ','TargetCode':''}</v>
      </c>
    </row>
    <row r="4" ht="12.75">
      <c r="A4" t="str">
        <f>CONCATENATE("{'SheetId':'05a3e0c8-b8c2-4245-bdc5-cb015cdcc9dd'",",","'UId':'5086734e-a0d0-4d58-876e-69a858ce276d'",",'Col':",COLUMN(BCTaiSan_06116!D3),",'Row':",ROW(BCTaiSan_06116!D3),",","'Format':'numberic'",",'Value':'",SUBSTITUTE(BCTaiSan_06116!D3,"'","\'"),"','TargetCode':''}")</f>
        <v>{'SheetId':'05a3e0c8-b8c2-4245-bdc5-cb015cdcc9dd','UId':'5086734e-a0d0-4d58-876e-69a858ce276d','Col':4,'Row':3,'Format':'numberic','Value':'2743916529','TargetCode':''}</v>
      </c>
    </row>
    <row r="5" ht="12.75">
      <c r="A5" t="str">
        <f>CONCATENATE("{'SheetId':'05a3e0c8-b8c2-4245-bdc5-cb015cdcc9dd'",",","'UId':'029cf965-9b09-4194-b0b5-4869f2e51d8e'",",'Col':",COLUMN(BCTaiSan_06116!E3),",'Row':",ROW(BCTaiSan_06116!E3),",","'Format':'numberic'",",'Value':'",SUBSTITUTE(BCTaiSan_06116!E3,"'","\'"),"','TargetCode':''}")</f>
        <v>{'SheetId':'05a3e0c8-b8c2-4245-bdc5-cb015cdcc9dd','UId':'029cf965-9b09-4194-b0b5-4869f2e51d8e','Col':5,'Row':3,'Format':'numberic','Value':'4868918879','TargetCode':''}</v>
      </c>
    </row>
    <row r="6" ht="12.75">
      <c r="A6" t="str">
        <f>CONCATENATE("{'SheetId':'05a3e0c8-b8c2-4245-bdc5-cb015cdcc9dd'",",","'UId':'76760a83-a967-414c-8b46-7968ec2d1f4f'",",'Col':",COLUMN(BCTaiSan_06116!F3),",'Row':",ROW(BCTaiSan_06116!F3),",","'Format':'numberic'",",'Value':'",SUBSTITUTE(BCTaiSan_06116!F3,"'","\'"),"','TargetCode':''}")</f>
        <v>{'SheetId':'05a3e0c8-b8c2-4245-bdc5-cb015cdcc9dd','UId':'76760a83-a967-414c-8b46-7968ec2d1f4f','Col':6,'Row':3,'Format':'numberic','Value':'0.681247313250731','TargetCode':''}</v>
      </c>
    </row>
    <row r="7" ht="12.75">
      <c r="A7" t="str">
        <f>CONCATENATE("{'SheetId':'05a3e0c8-b8c2-4245-bdc5-cb015cdcc9dd'",",","'UId':'dc43f576-81ac-4102-908b-35732831f646'",",'Col':",COLUMN(BCTaiSan_06116!D4),",'Row':",ROW(BCTaiSan_06116!D4),",","'Format':'numberic'",",'Value':'",SUBSTITUTE(BCTaiSan_06116!D4,"'","\'"),"','TargetCode':''}")</f>
        <v>{'SheetId':'05a3e0c8-b8c2-4245-bdc5-cb015cdcc9dd','UId':'dc43f576-81ac-4102-908b-35732831f646','Col':4,'Row':4,'Format':'numberic','Value':'','TargetCode':''}</v>
      </c>
    </row>
    <row r="8" ht="12.75">
      <c r="A8" t="str">
        <f>CONCATENATE("{'SheetId':'05a3e0c8-b8c2-4245-bdc5-cb015cdcc9dd'",",","'UId':'ee0fcb69-712c-44ff-89cd-c139ce853b3f'",",'Col':",COLUMN(BCTaiSan_06116!E4),",'Row':",ROW(BCTaiSan_06116!E4),",","'Format':'numberic'",",'Value':'",SUBSTITUTE(BCTaiSan_06116!E4,"'","\'"),"','TargetCode':''}")</f>
        <v>{'SheetId':'05a3e0c8-b8c2-4245-bdc5-cb015cdcc9dd','UId':'ee0fcb69-712c-44ff-89cd-c139ce853b3f','Col':5,'Row':4,'Format':'numberic','Value':'','TargetCode':''}</v>
      </c>
    </row>
    <row r="9" ht="12.75">
      <c r="A9" t="str">
        <f>CONCATENATE("{'SheetId':'05a3e0c8-b8c2-4245-bdc5-cb015cdcc9dd'",",","'UId':'b6d63f69-5de5-4066-bde5-db5fda72fa9d'",",'Col':",COLUMN(BCTaiSan_06116!F4),",'Row':",ROW(BCTaiSan_06116!F4),",","'Format':'numberic'",",'Value':'",SUBSTITUTE(BCTaiSan_06116!F4,"'","\'"),"','TargetCode':''}")</f>
        <v>{'SheetId':'05a3e0c8-b8c2-4245-bdc5-cb015cdcc9dd','UId':'b6d63f69-5de5-4066-bde5-db5fda72fa9d','Col':6,'Row':4,'Format':'numberic','Value':'','TargetCode':''}</v>
      </c>
    </row>
    <row r="10" ht="12.75">
      <c r="A10" t="str">
        <f>CONCATENATE("{'SheetId':'05a3e0c8-b8c2-4245-bdc5-cb015cdcc9dd'",",","'UId':'a68648a5-a844-412c-a65b-a9af514d131b'",",'Col':",COLUMN(BCTaiSan_06116!D5),",'Row':",ROW(BCTaiSan_06116!D5),",","'Format':'numberic'",",'Value':'",SUBSTITUTE(BCTaiSan_06116!D5,"'","\'"),"','TargetCode':''}")</f>
        <v>{'SheetId':'05a3e0c8-b8c2-4245-bdc5-cb015cdcc9dd','UId':'a68648a5-a844-412c-a65b-a9af514d131b','Col':4,'Row':5,'Format':'numberic','Value':'2743916529','TargetCode':''}</v>
      </c>
    </row>
    <row r="11" ht="12.75">
      <c r="A11" t="str">
        <f>CONCATENATE("{'SheetId':'05a3e0c8-b8c2-4245-bdc5-cb015cdcc9dd'",",","'UId':'4f9f9fd1-76dc-40b0-988b-79c7f545b69a'",",'Col':",COLUMN(BCTaiSan_06116!E5),",'Row':",ROW(BCTaiSan_06116!E5),",","'Format':'numberic'",",'Value':'",SUBSTITUTE(BCTaiSan_06116!E5,"'","\'"),"','TargetCode':''}")</f>
        <v>{'SheetId':'05a3e0c8-b8c2-4245-bdc5-cb015cdcc9dd','UId':'4f9f9fd1-76dc-40b0-988b-79c7f545b69a','Col':5,'Row':5,'Format':'numberic','Value':'4868918879','TargetCode':''}</v>
      </c>
    </row>
    <row r="12" ht="12.75">
      <c r="A12" t="str">
        <f>CONCATENATE("{'SheetId':'05a3e0c8-b8c2-4245-bdc5-cb015cdcc9dd'",",","'UId':'aba4a735-8425-4f46-b0de-610e35905392'",",'Col':",COLUMN(BCTaiSan_06116!F5),",'Row':",ROW(BCTaiSan_06116!F5),",","'Format':'numberic'",",'Value':'",SUBSTITUTE(BCTaiSan_06116!F5,"'","\'"),"','TargetCode':''}")</f>
        <v>{'SheetId':'05a3e0c8-b8c2-4245-bdc5-cb015cdcc9dd','UId':'aba4a735-8425-4f46-b0de-610e35905392','Col':6,'Row':5,'Format':'numberic','Value':'0.681247313250731','TargetCode':''}</v>
      </c>
    </row>
    <row r="13" ht="12.75">
      <c r="A13" t="str">
        <f>CONCATENATE("{'SheetId':'05a3e0c8-b8c2-4245-bdc5-cb015cdcc9dd'",",","'UId':'0746f070-e505-4322-84cb-9a1d8e73cd5a'",",'Col':",COLUMN(BCTaiSan_06116!D6),",'Row':",ROW(BCTaiSan_06116!D6),",","'Format':'numberic'",",'Value':'",SUBSTITUTE(BCTaiSan_06116!D6,"'","\'"),"','TargetCode':''}")</f>
        <v>{'SheetId':'05a3e0c8-b8c2-4245-bdc5-cb015cdcc9dd','UId':'0746f070-e505-4322-84cb-9a1d8e73cd5a','Col':4,'Row':6,'Format':'numberic','Value':'41500231000','TargetCode':''}</v>
      </c>
    </row>
    <row r="14" ht="12.75">
      <c r="A14" t="str">
        <f>CONCATENATE("{'SheetId':'05a3e0c8-b8c2-4245-bdc5-cb015cdcc9dd'",",","'UId':'c504e005-fd02-417d-944f-8b11c9a64007'",",'Col':",COLUMN(BCTaiSan_06116!E6),",'Row':",ROW(BCTaiSan_06116!E6),",","'Format':'numberic'",",'Value':'",SUBSTITUTE(BCTaiSan_06116!E6,"'","\'"),"','TargetCode':''}")</f>
        <v>{'SheetId':'05a3e0c8-b8c2-4245-bdc5-cb015cdcc9dd','UId':'c504e005-fd02-417d-944f-8b11c9a64007','Col':5,'Row':6,'Format':'numberic','Value':'43005796000','TargetCode':''}</v>
      </c>
    </row>
    <row r="15" ht="12.75">
      <c r="A15" t="str">
        <f>CONCATENATE("{'SheetId':'05a3e0c8-b8c2-4245-bdc5-cb015cdcc9dd'",",","'UId':'3f872c9f-ae3c-432c-a0f7-f248432a33b5'",",'Col':",COLUMN(BCTaiSan_06116!F6),",'Row':",ROW(BCTaiSan_06116!F6),",","'Format':'numberic'",",'Value':'",SUBSTITUTE(BCTaiSan_06116!F6,"'","\'"),"','TargetCode':''}")</f>
        <v>{'SheetId':'05a3e0c8-b8c2-4245-bdc5-cb015cdcc9dd','UId':'3f872c9f-ae3c-432c-a0f7-f248432a33b5','Col':6,'Row':6,'Format':'numberic','Value':'0.937752631836129','TargetCode':''}</v>
      </c>
    </row>
    <row r="16" ht="12.75">
      <c r="A16" t="str">
        <f>CONCATENATE("{'SheetId':'05a3e0c8-b8c2-4245-bdc5-cb015cdcc9dd'",",","'UId':'74747177-3b68-424c-801d-d3b167ddab89'",",'Col':",COLUMN(BCTaiSan_06116!A11),",'Row':",ROW(BCTaiSan_06116!A11),",","'ColDynamic':",COLUMN(BCTaiSan_06116!A11),",","'RowDynamic':",ROW(BCTaiSan_06116!A11),",","'Format':'numberic'",",'Value':'",SUBSTITUTE(BCTaiSan_06116!A11,"'","\'"),"','TargetCode':''}")</f>
        <v>{'SheetId':'05a3e0c8-b8c2-4245-bdc5-cb015cdcc9dd','UId':'74747177-3b68-424c-801d-d3b167ddab89','Col':1,'Row':11,'ColDynamic':1,'RowDynamic':11,'Format':'numberic','Value':' ','TargetCode':''}</v>
      </c>
    </row>
    <row r="17" ht="12.75">
      <c r="A17" t="str">
        <f>CONCATENATE("{'SheetId':'05a3e0c8-b8c2-4245-bdc5-cb015cdcc9dd'",",","'UId':'85403805-b002-45de-9502-edab12beb055'",",'Col':",COLUMN(BCTaiSan_06116!B11),",'Row':",ROW(BCTaiSan_06116!B11),",","'ColDynamic':",COLUMN(BCTaiSan_06116!B11),",","'RowDynamic':",ROW(BCTaiSan_06116!B11),",","'Format':'string'",",'Value':'",SUBSTITUTE(BCTaiSan_06116!B11,"'","\'"),"','TargetCode':''}")</f>
        <v>{'SheetId':'05a3e0c8-b8c2-4245-bdc5-cb015cdcc9dd','UId':'85403805-b002-45de-9502-edab12beb055','Col':2,'Row':11,'ColDynamic':2,'RowDynamic':11,'Format':'string','Value':'Quyền mua','TargetCode':''}</v>
      </c>
    </row>
    <row r="18" ht="12.75">
      <c r="A18" t="str">
        <f>CONCATENATE("{'SheetId':'05a3e0c8-b8c2-4245-bdc5-cb015cdcc9dd'",",","'UId':'4ae0df12-c594-4b96-b84f-7745f928d513'",",'Col':",COLUMN(BCTaiSan_06116!C11),",'Row':",ROW(BCTaiSan_06116!C11),",","'ColDynamic':",COLUMN(BCTaiSan_06116!C11),",","'RowDynamic':",ROW(BCTaiSan_06116!C11),",","'Format':'numberic'",",'Value':'",SUBSTITUTE(BCTaiSan_06116!C11,"'","\'"),"','TargetCode':''}")</f>
        <v>{'SheetId':'05a3e0c8-b8c2-4245-bdc5-cb015cdcc9dd','UId':'4ae0df12-c594-4b96-b84f-7745f928d513','Col':3,'Row':11,'ColDynamic':3,'RowDynamic':11,'Format':'numberic','Value':'2205.4','TargetCode':''}</v>
      </c>
    </row>
    <row r="19" ht="12.75">
      <c r="A19" t="str">
        <f>CONCATENATE("{'SheetId':'05a3e0c8-b8c2-4245-bdc5-cb015cdcc9dd'",",","'UId':'9bac1d95-cff9-4914-b300-7c520e0896d7'",",'Col':",COLUMN(BCTaiSan_06116!D11),",'Row':",ROW(BCTaiSan_06116!D11),",","'ColDynamic':",COLUMN(BCTaiSan_06116!D11),",","'RowDynamic':",ROW(BCTaiSan_06116!D11),",","'Format':'numberic'",",'Value':'",SUBSTITUTE(BCTaiSan_06116!D11,"'","\'"),"','TargetCode':''}")</f>
        <v>{'SheetId':'05a3e0c8-b8c2-4245-bdc5-cb015cdcc9dd','UId':'9bac1d95-cff9-4914-b300-7c520e0896d7','Col':4,'Row':11,'ColDynamic':4,'RowDynamic':11,'Format':'numberic','Value':'','TargetCode':''}</v>
      </c>
    </row>
    <row r="20" ht="12.75">
      <c r="A20" t="str">
        <f>CONCATENATE("{'SheetId':'05a3e0c8-b8c2-4245-bdc5-cb015cdcc9dd'",",","'UId':'b8654f84-be0d-475d-8ef8-f0856fcbdf23'",",'Col':",COLUMN(BCTaiSan_06116!E11),",'Row':",ROW(BCTaiSan_06116!E11),",","'ColDynamic':",COLUMN(BCTaiSan_06116!E11),",","'RowDynamic':",ROW(BCTaiSan_06116!E11),",","'Format':'numberic'",",'Value':'",SUBSTITUTE(BCTaiSan_06116!E11,"'","\'"),"','TargetCode':''}")</f>
        <v>{'SheetId':'05a3e0c8-b8c2-4245-bdc5-cb015cdcc9dd','UId':'b8654f84-be0d-475d-8ef8-f0856fcbdf23','Col':5,'Row':11,'ColDynamic':5,'RowDynamic':11,'Format':'numberic','Value':'','TargetCode':''}</v>
      </c>
    </row>
    <row r="21" ht="12.75">
      <c r="A21" t="str">
        <f>CONCATENATE("{'SheetId':'05a3e0c8-b8c2-4245-bdc5-cb015cdcc9dd'",",","'UId':'65a180f5-6323-4ca6-8d60-877e75fa08b1'",",'Col':",COLUMN(BCTaiSan_06116!F11),",'Row':",ROW(BCTaiSan_06116!F11),",","'ColDynamic':",COLUMN(BCTaiSan_06116!F7),",","'RowDynamic':",ROW(BCTaiSan_06116!F7),",","'Format':'numberic'",",'Value':'",SUBSTITUTE(BCTaiSan_06116!F11,"'","\'"),"','TargetCode':''}")</f>
        <v>{'SheetId':'05a3e0c8-b8c2-4245-bdc5-cb015cdcc9dd','UId':'65a180f5-6323-4ca6-8d60-877e75fa08b1','Col':6,'Row':11,'ColDynamic':6,'RowDynamic':7,'Format':'numberic','Value':'','TargetCode':''}</v>
      </c>
    </row>
    <row r="22" ht="12.75">
      <c r="A22" t="str">
        <f>CONCATENATE("{'SheetId':'05a3e0c8-b8c2-4245-bdc5-cb015cdcc9dd'",",","'UId':'1af5eca8-2cc5-421d-9386-73cea0ed87a4'",",'Col':",COLUMN(BCTaiSan_06116!D12),",'Row':",ROW(BCTaiSan_06116!D12),",","'Format':'numberic'",",'Value':'",SUBSTITUTE(BCTaiSan_06116!D12,"'","\'"),"','TargetCode':''}")</f>
        <v>{'SheetId':'05a3e0c8-b8c2-4245-bdc5-cb015cdcc9dd','UId':'1af5eca8-2cc5-421d-9386-73cea0ed87a4','Col':4,'Row':12,'Format':'numberic','Value':' ','TargetCode':''}</v>
      </c>
    </row>
    <row r="23" ht="12.75">
      <c r="A23" t="str">
        <f>CONCATENATE("{'SheetId':'05a3e0c8-b8c2-4245-bdc5-cb015cdcc9dd'",",","'UId':'e890b074-fbc2-483a-827e-af6444b868eb'",",'Col':",COLUMN(BCTaiSan_06116!E12),",'Row':",ROW(BCTaiSan_06116!E12),",","'Format':'numberic'",",'Value':'",SUBSTITUTE(BCTaiSan_06116!E12,"'","\'"),"','TargetCode':''}")</f>
        <v>{'SheetId':'05a3e0c8-b8c2-4245-bdc5-cb015cdcc9dd','UId':'e890b074-fbc2-483a-827e-af6444b868eb','Col':5,'Row':12,'Format':'numberic','Value':' ','TargetCode':''}</v>
      </c>
    </row>
    <row r="24" ht="12.75">
      <c r="A24" t="str">
        <f>CONCATENATE("{'SheetId':'05a3e0c8-b8c2-4245-bdc5-cb015cdcc9dd'",",","'UId':'be282106-3c34-42de-aecf-de0bcbe56ec2'",",'Col':",COLUMN(BCTaiSan_06116!F12),",'Row':",ROW(BCTaiSan_06116!F12),",","'Format':'numberic'",",'Value':'",SUBSTITUTE(BCTaiSan_06116!F12,"'","\'"),"','TargetCode':''}")</f>
        <v>{'SheetId':'05a3e0c8-b8c2-4245-bdc5-cb015cdcc9dd','UId':'be282106-3c34-42de-aecf-de0bcbe56ec2','Col':6,'Row':12,'Format':'numberic','Value':'','TargetCode':''}</v>
      </c>
    </row>
    <row r="25" ht="12.75">
      <c r="A25" t="str">
        <f>CONCATENATE("{'SheetId':'05a3e0c8-b8c2-4245-bdc5-cb015cdcc9dd'",",","'UId':'10b5c8b1-37e2-4776-9f56-6cca79e0d4a9'",",'Col':",COLUMN(BCTaiSan_06116!D13),",'Row':",ROW(BCTaiSan_06116!D13),",","'Format':'numberic'",",'Value':'",SUBSTITUTE(BCTaiSan_06116!D13,"'","\'"),"','TargetCode':''}")</f>
        <v>{'SheetId':'05a3e0c8-b8c2-4245-bdc5-cb015cdcc9dd','UId':'10b5c8b1-37e2-4776-9f56-6cca79e0d4a9','Col':4,'Row':13,'Format':'numberic','Value':'','TargetCode':''}</v>
      </c>
    </row>
    <row r="26" ht="12.75">
      <c r="A26" t="str">
        <f>CONCATENATE("{'SheetId':'05a3e0c8-b8c2-4245-bdc5-cb015cdcc9dd'",",","'UId':'1ca1dcdb-eb45-445e-a550-2d00bfa4f25d'",",'Col':",COLUMN(BCTaiSan_06116!E13),",'Row':",ROW(BCTaiSan_06116!E13),",","'Format':'numberic'",",'Value':'",SUBSTITUTE(BCTaiSan_06116!E13,"'","\'"),"','TargetCode':''}")</f>
        <v>{'SheetId':'05a3e0c8-b8c2-4245-bdc5-cb015cdcc9dd','UId':'1ca1dcdb-eb45-445e-a550-2d00bfa4f25d','Col':5,'Row':13,'Format':'numberic','Value':'','TargetCode':''}</v>
      </c>
    </row>
    <row r="27" ht="12.75">
      <c r="A27" t="str">
        <f>CONCATENATE("{'SheetId':'05a3e0c8-b8c2-4245-bdc5-cb015cdcc9dd'",",","'UId':'fb423272-1490-4ec6-a473-7bc0946478a3'",",'Col':",COLUMN(BCTaiSan_06116!F13),",'Row':",ROW(BCTaiSan_06116!F13),",","'Format':'numberic'",",'Value':'",SUBSTITUTE(BCTaiSan_06116!F13,"'","\'"),"','TargetCode':''}")</f>
        <v>{'SheetId':'05a3e0c8-b8c2-4245-bdc5-cb015cdcc9dd','UId':'fb423272-1490-4ec6-a473-7bc0946478a3','Col':6,'Row':13,'Format':'numberic','Value':'','TargetCode':''}</v>
      </c>
    </row>
    <row r="28" ht="12.75">
      <c r="A28" t="str">
        <f>CONCATENATE("{'SheetId':'05a3e0c8-b8c2-4245-bdc5-cb015cdcc9dd'",",","'UId':'53b62615-2ee9-424b-abdb-a9f37d45adeb'",",'Col':",COLUMN(BCTaiSan_06116!D14),",'Row':",ROW(BCTaiSan_06116!D14),",","'Format':'numberic'",",'Value':'",SUBSTITUTE(BCTaiSan_06116!D14,"'","\'"),"','TargetCode':''}")</f>
        <v>{'SheetId':'05a3e0c8-b8c2-4245-bdc5-cb015cdcc9dd','UId':'53b62615-2ee9-424b-abdb-a9f37d45adeb','Col':4,'Row':14,'Format':'numberic','Value':'','TargetCode':''}</v>
      </c>
    </row>
    <row r="29" ht="12.75">
      <c r="A29" t="str">
        <f>CONCATENATE("{'SheetId':'05a3e0c8-b8c2-4245-bdc5-cb015cdcc9dd'",",","'UId':'7d8a49a6-8e34-4a45-8cfa-28e3004914a3'",",'Col':",COLUMN(BCTaiSan_06116!E14),",'Row':",ROW(BCTaiSan_06116!E14),",","'Format':'numberic'",",'Value':'",SUBSTITUTE(BCTaiSan_06116!E14,"'","\'"),"','TargetCode':''}")</f>
        <v>{'SheetId':'05a3e0c8-b8c2-4245-bdc5-cb015cdcc9dd','UId':'7d8a49a6-8e34-4a45-8cfa-28e3004914a3','Col':5,'Row':14,'Format':'numberic','Value':'','TargetCode':''}</v>
      </c>
    </row>
    <row r="30" ht="12.75">
      <c r="A30" t="str">
        <f>CONCATENATE("{'SheetId':'05a3e0c8-b8c2-4245-bdc5-cb015cdcc9dd'",",","'UId':'af3460a7-973f-4fd3-96ef-0594dd487d70'",",'Col':",COLUMN(BCTaiSan_06116!F14),",'Row':",ROW(BCTaiSan_06116!F14),",","'Format':'numberic'",",'Value':'",SUBSTITUTE(BCTaiSan_06116!F14,"'","\'"),"','TargetCode':''}")</f>
        <v>{'SheetId':'05a3e0c8-b8c2-4245-bdc5-cb015cdcc9dd','UId':'af3460a7-973f-4fd3-96ef-0594dd487d70','Col':6,'Row':14,'Format':'numberic','Value':'','TargetCode':''}</v>
      </c>
    </row>
    <row r="31" ht="12.75">
      <c r="A31" t="str">
        <f>CONCATENATE("{'SheetId':'05a3e0c8-b8c2-4245-bdc5-cb015cdcc9dd'",",","'UId':'84f01634-93af-47e4-8c10-02450a5caa19'",",'Col':",COLUMN(BCTaiSan_06116!D15),",'Row':",ROW(BCTaiSan_06116!D15),",","'Format':'numberic'",",'Value':'",SUBSTITUTE(BCTaiSan_06116!D15,"'","\'"),"','TargetCode':''}")</f>
        <v>{'SheetId':'05a3e0c8-b8c2-4245-bdc5-cb015cdcc9dd','UId':'84f01634-93af-47e4-8c10-02450a5caa19','Col':4,'Row':15,'Format':'numberic','Value':' ','TargetCode':''}</v>
      </c>
    </row>
    <row r="32" ht="12.75">
      <c r="A32" t="str">
        <f>CONCATENATE("{'SheetId':'05a3e0c8-b8c2-4245-bdc5-cb015cdcc9dd'",",","'UId':'1e02806d-2fd7-46f9-88b3-a19fa7014226'",",'Col':",COLUMN(BCTaiSan_06116!E15),",'Row':",ROW(BCTaiSan_06116!E15),",","'Format':'numberic'",",'Value':'",SUBSTITUTE(BCTaiSan_06116!E15,"'","\'"),"','TargetCode':''}")</f>
        <v>{'SheetId':'05a3e0c8-b8c2-4245-bdc5-cb015cdcc9dd','UId':'1e02806d-2fd7-46f9-88b3-a19fa7014226','Col':5,'Row':15,'Format':'numberic','Value':' ','TargetCode':''}</v>
      </c>
    </row>
    <row r="33" ht="12.75">
      <c r="A33" t="str">
        <f>CONCATENATE("{'SheetId':'05a3e0c8-b8c2-4245-bdc5-cb015cdcc9dd'",",","'UId':'216e6131-7846-4eb4-94c2-e8c500eb3be4'",",'Col':",COLUMN(BCTaiSan_06116!F15),",'Row':",ROW(BCTaiSan_06116!F15),",","'Format':'numberic'",",'Value':'",SUBSTITUTE(BCTaiSan_06116!F15,"'","\'"),"','TargetCode':''}")</f>
        <v>{'SheetId':'05a3e0c8-b8c2-4245-bdc5-cb015cdcc9dd','UId':'216e6131-7846-4eb4-94c2-e8c500eb3be4','Col':6,'Row':15,'Format':'numberic','Value':'','TargetCode':''}</v>
      </c>
    </row>
    <row r="34" ht="12.75">
      <c r="A34" t="str">
        <f>CONCATENATE("{'SheetId':'05a3e0c8-b8c2-4245-bdc5-cb015cdcc9dd'",",","'UId':'f00d4389-24d6-46ef-b84c-b255b38d6112'",",'Col':",COLUMN(BCTaiSan_06116!A17),",'Row':",ROW(BCTaiSan_06116!A17),",","'ColDynamic':",COLUMN(BCTaiSan_06116!A17),",","'RowDynamic':",ROW(BCTaiSan_06116!A17),",","'Format':'numberic'",",'Value':'",SUBSTITUTE(BCTaiSan_06116!A17,"'","\'"),"','TargetCode':''}")</f>
        <v>{'SheetId':'05a3e0c8-b8c2-4245-bdc5-cb015cdcc9dd','UId':'f00d4389-24d6-46ef-b84c-b255b38d6112','Col':1,'Row':17,'ColDynamic':1,'RowDynamic':17,'Format':'numberic','Value':' ','TargetCode':''}</v>
      </c>
    </row>
    <row r="35" ht="12.75">
      <c r="A35" t="str">
        <f>CONCATENATE("{'SheetId':'05a3e0c8-b8c2-4245-bdc5-cb015cdcc9dd'",",","'UId':'8029d3f9-9963-49f6-8017-ad2247892dec'",",'Col':",COLUMN(BCTaiSan_06116!B17),",'Row':",ROW(BCTaiSan_06116!B17),",","'ColDynamic':",COLUMN(BCTaiSan_06116!B17),",","'RowDynamic':",ROW(BCTaiSan_06116!B17),",","'Format':'string'",",'Value':'",SUBSTITUTE(BCTaiSan_06116!B17,"'","\'"),"','TargetCode':''}")</f>
        <v>{'SheetId':'05a3e0c8-b8c2-4245-bdc5-cb015cdcc9dd','UId':'8029d3f9-9963-49f6-8017-ad2247892dec','Col':2,'Row':17,'ColDynamic':2,'RowDynamic':17,'Format':'string','Value':'...','TargetCode':''}</v>
      </c>
    </row>
    <row r="36" ht="12.75">
      <c r="A36" t="str">
        <f>CONCATENATE("{'SheetId':'05a3e0c8-b8c2-4245-bdc5-cb015cdcc9dd'",",","'UId':'6de69714-5551-4614-bd61-b59346d49d31'",",'Col':",COLUMN(BCTaiSan_06116!C17),",'Row':",ROW(BCTaiSan_06116!C17),",","'ColDynamic':",COLUMN(BCTaiSan_06116!C17),",","'RowDynamic':",ROW(BCTaiSan_06116!C17),",","'Format':'numberic'",",'Value':'",SUBSTITUTE(BCTaiSan_06116!C17,"'","\'"),"','TargetCode':''}")</f>
        <v>{'SheetId':'05a3e0c8-b8c2-4245-bdc5-cb015cdcc9dd','UId':'6de69714-5551-4614-bd61-b59346d49d31','Col':3,'Row':17,'ColDynamic':3,'RowDynamic':17,'Format':'numberic','Value':'','TargetCode':''}</v>
      </c>
    </row>
    <row r="37" ht="12.75">
      <c r="A37" t="str">
        <f>CONCATENATE("{'SheetId':'05a3e0c8-b8c2-4245-bdc5-cb015cdcc9dd'",",","'UId':'0b6e0da5-2823-49c8-80df-d27664af4744'",",'Col':",COLUMN(BCTaiSan_06116!D17),",'Row':",ROW(BCTaiSan_06116!D17),",","'ColDynamic':",COLUMN(BCTaiSan_06116!D17),",","'RowDynamic':",ROW(BCTaiSan_06116!D17),",","'Format':'numberic'",",'Value':'",SUBSTITUTE(BCTaiSan_06116!D17,"'","\'"),"','TargetCode':''}")</f>
        <v>{'SheetId':'05a3e0c8-b8c2-4245-bdc5-cb015cdcc9dd','UId':'0b6e0da5-2823-49c8-80df-d27664af4744','Col':4,'Row':17,'ColDynamic':4,'RowDynamic':17,'Format':'numberic','Value':' ','TargetCode':''}</v>
      </c>
    </row>
    <row r="38" ht="12.75">
      <c r="A38" t="str">
        <f>CONCATENATE("{'SheetId':'05a3e0c8-b8c2-4245-bdc5-cb015cdcc9dd'",",","'UId':'d9504a64-da4c-4866-b916-b94827151f1d'",",'Col':",COLUMN(BCTaiSan_06116!E17),",'Row':",ROW(BCTaiSan_06116!E17),",","'ColDynamic':",COLUMN(BCTaiSan_06116!E17),",","'RowDynamic':",ROW(BCTaiSan_06116!E17),",","'Format':'numberic'",",'Value':'",SUBSTITUTE(BCTaiSan_06116!E17,"'","\'"),"','TargetCode':''}")</f>
        <v>{'SheetId':'05a3e0c8-b8c2-4245-bdc5-cb015cdcc9dd','UId':'d9504a64-da4c-4866-b916-b94827151f1d','Col':5,'Row':17,'ColDynamic':5,'RowDynamic':17,'Format':'numberic','Value':' ','TargetCode':''}</v>
      </c>
    </row>
    <row r="39" ht="12.75">
      <c r="A39" t="str">
        <f>CONCATENATE("{'SheetId':'05a3e0c8-b8c2-4245-bdc5-cb015cdcc9dd'",",","'UId':'035ad208-7122-4bbb-9705-535ddfe1c24f'",",'Col':",COLUMN(BCTaiSan_06116!F17),",'Row':",ROW(BCTaiSan_06116!F17),",","'ColDynamic':",COLUMN(BCTaiSan_06116!F16),",","'RowDynamic':",ROW(BCTaiSan_06116!F16),",","'Format':'numberic'",",'Value':'",SUBSTITUTE(BCTaiSan_06116!F17,"'","\'"),"','TargetCode':''}")</f>
        <v>{'SheetId':'05a3e0c8-b8c2-4245-bdc5-cb015cdcc9dd','UId':'035ad208-7122-4bbb-9705-535ddfe1c24f','Col':6,'Row':17,'ColDynamic':6,'RowDynamic':16,'Format':'numberic','Value':'','TargetCode':''}</v>
      </c>
    </row>
    <row r="40" ht="12.75">
      <c r="A40" t="str">
        <f>CONCATENATE("{'SheetId':'05a3e0c8-b8c2-4245-bdc5-cb015cdcc9dd'",",","'UId':'280c9954-a84f-4650-8950-11fdd4a9c3e8'",",'Col':",COLUMN(BCTaiSan_06116!D18),",'Row':",ROW(BCTaiSan_06116!D18),",","'Format':'numberic'",",'Value':'",SUBSTITUTE(BCTaiSan_06116!D18,"'","\'"),"','TargetCode':''}")</f>
        <v>{'SheetId':'05a3e0c8-b8c2-4245-bdc5-cb015cdcc9dd','UId':'280c9954-a84f-4650-8950-11fdd4a9c3e8','Col':4,'Row':18,'Format':'numberic','Value':'1657210000','TargetCode':''}</v>
      </c>
    </row>
    <row r="41" ht="12.75">
      <c r="A41" t="str">
        <f>CONCATENATE("{'SheetId':'05a3e0c8-b8c2-4245-bdc5-cb015cdcc9dd'",",","'UId':'eada7c25-d8ea-4e2b-a020-6a503e31332f'",",'Col':",COLUMN(BCTaiSan_06116!E18),",'Row':",ROW(BCTaiSan_06116!E18),",","'Format':'numberic'",",'Value':'",SUBSTITUTE(BCTaiSan_06116!E18,"'","\'"),"','TargetCode':''}")</f>
        <v>{'SheetId':'05a3e0c8-b8c2-4245-bdc5-cb015cdcc9dd','UId':'eada7c25-d8ea-4e2b-a020-6a503e31332f','Col':5,'Row':18,'Format':'numberic','Value':'493773000','TargetCode':''}</v>
      </c>
    </row>
    <row r="42" ht="12.75">
      <c r="A42" t="str">
        <f>CONCATENATE("{'SheetId':'05a3e0c8-b8c2-4245-bdc5-cb015cdcc9dd'",",","'UId':'55964ce1-d6cc-4485-a817-49c1edd96aea'",",'Col':",COLUMN(BCTaiSan_06116!F18),",'Row':",ROW(BCTaiSan_06116!F18),",","'Format':'numberic'",",'Value':'",SUBSTITUTE(BCTaiSan_06116!F18,"'","\'"),"','TargetCode':''}")</f>
        <v>{'SheetId':'05a3e0c8-b8c2-4245-bdc5-cb015cdcc9dd','UId':'55964ce1-d6cc-4485-a817-49c1edd96aea','Col':6,'Row':18,'Format':'numberic','Value':'0.522224830739609','TargetCode':''}</v>
      </c>
    </row>
    <row r="43" ht="12.75">
      <c r="A43" t="str">
        <f>CONCATENATE("{'SheetId':'05a3e0c8-b8c2-4245-bdc5-cb015cdcc9dd'",",","'UId':'7c844cf2-d9f0-4598-8de4-f350c98010c7'",",'Col':",COLUMN(BCTaiSan_06116!A20),",'Row':",ROW(BCTaiSan_06116!A20),",","'ColDynamic':",COLUMN(BCTaiSan_06116!A20),",","'RowDynamic':",ROW(BCTaiSan_06116!A20),",","'Format':'numberic'",",'Value':'",SUBSTITUTE(BCTaiSan_06116!A20,"'","\'"),"','TargetCode':''}")</f>
        <v>{'SheetId':'05a3e0c8-b8c2-4245-bdc5-cb015cdcc9dd','UId':'7c844cf2-d9f0-4598-8de4-f350c98010c7','Col':1,'Row':20,'ColDynamic':1,'RowDynamic':20,'Format':'numberic','Value':' ','TargetCode':''}</v>
      </c>
    </row>
    <row r="44" ht="12.75">
      <c r="A44" t="str">
        <f>CONCATENATE("{'SheetId':'05a3e0c8-b8c2-4245-bdc5-cb015cdcc9dd'",",","'UId':'3335b12e-e7c2-4c89-914a-32f761e8f3ff'",",'Col':",COLUMN(BCTaiSan_06116!B20),",'Row':",ROW(BCTaiSan_06116!B20),",","'ColDynamic':",COLUMN(BCTaiSan_06116!B20),",","'RowDynamic':",ROW(BCTaiSan_06116!B20),",","'Format':'string'",",'Value':'",SUBSTITUTE(BCTaiSan_06116!B20,"'","\'"),"','TargetCode':''}")</f>
        <v>{'SheetId':'05a3e0c8-b8c2-4245-bdc5-cb015cdcc9dd','UId':'3335b12e-e7c2-4c89-914a-32f761e8f3ff','Col':2,'Row':20,'ColDynamic':2,'RowDynamic':20,'Format':'string','Value':'...','TargetCode':''}</v>
      </c>
    </row>
    <row r="45" ht="12.75">
      <c r="A45" t="str">
        <f>CONCATENATE("{'SheetId':'05a3e0c8-b8c2-4245-bdc5-cb015cdcc9dd'",",","'UId':'eb9af731-a3bb-4bf9-b037-b5e346ba9e72'",",'Col':",COLUMN(BCTaiSan_06116!C20),",'Row':",ROW(BCTaiSan_06116!C20),",","'ColDynamic':",COLUMN(BCTaiSan_06116!C20),",","'RowDynamic':",ROW(BCTaiSan_06116!C20),",","'Format':'numberic'",",'Value':'",SUBSTITUTE(BCTaiSan_06116!C20,"'","\'"),"','TargetCode':''}")</f>
        <v>{'SheetId':'05a3e0c8-b8c2-4245-bdc5-cb015cdcc9dd','UId':'eb9af731-a3bb-4bf9-b037-b5e346ba9e72','Col':3,'Row':20,'ColDynamic':3,'RowDynamic':20,'Format':'numberic','Value':'','TargetCode':''}</v>
      </c>
    </row>
    <row r="46" ht="12.75">
      <c r="A46" t="str">
        <f>CONCATENATE("{'SheetId':'05a3e0c8-b8c2-4245-bdc5-cb015cdcc9dd'",",","'UId':'d6552d87-9986-4ee2-8bca-c8164e4bf70d'",",'Col':",COLUMN(BCTaiSan_06116!D20),",'Row':",ROW(BCTaiSan_06116!D20),",","'ColDynamic':",COLUMN(BCTaiSan_06116!D20),",","'RowDynamic':",ROW(BCTaiSan_06116!D20),",","'Format':'numberic'",",'Value':'",SUBSTITUTE(BCTaiSan_06116!D20,"'","\'"),"','TargetCode':''}")</f>
        <v>{'SheetId':'05a3e0c8-b8c2-4245-bdc5-cb015cdcc9dd','UId':'d6552d87-9986-4ee2-8bca-c8164e4bf70d','Col':4,'Row':20,'ColDynamic':4,'RowDynamic':20,'Format':'numberic','Value':' ','TargetCode':''}</v>
      </c>
    </row>
    <row r="47" ht="12.75">
      <c r="A47" t="str">
        <f>CONCATENATE("{'SheetId':'05a3e0c8-b8c2-4245-bdc5-cb015cdcc9dd'",",","'UId':'1907421d-5e2b-48f4-9488-1672141ee50f'",",'Col':",COLUMN(BCTaiSan_06116!E20),",'Row':",ROW(BCTaiSan_06116!E20),",","'ColDynamic':",COLUMN(BCTaiSan_06116!E20),",","'RowDynamic':",ROW(BCTaiSan_06116!E20),",","'Format':'numberic'",",'Value':'",SUBSTITUTE(BCTaiSan_06116!E20,"'","\'"),"','TargetCode':''}")</f>
        <v>{'SheetId':'05a3e0c8-b8c2-4245-bdc5-cb015cdcc9dd','UId':'1907421d-5e2b-48f4-9488-1672141ee50f','Col':5,'Row':20,'ColDynamic':5,'RowDynamic':20,'Format':'numberic','Value':' ','TargetCode':''}</v>
      </c>
    </row>
    <row r="48" ht="12.75">
      <c r="A48" t="str">
        <f>CONCATENATE("{'SheetId':'05a3e0c8-b8c2-4245-bdc5-cb015cdcc9dd'",",","'UId':'e89baa38-f756-4f7e-bbac-40c57c7c6e00'",",'Col':",COLUMN(BCTaiSan_06116!F20),",'Row':",ROW(BCTaiSan_06116!F20),",","'ColDynamic':",COLUMN(BCTaiSan_06116!F19),",","'RowDynamic':",ROW(BCTaiSan_06116!F19),",","'Format':'numberic'",",'Value':'",SUBSTITUTE(BCTaiSan_06116!F20,"'","\'"),"','TargetCode':''}")</f>
        <v>{'SheetId':'05a3e0c8-b8c2-4245-bdc5-cb015cdcc9dd','UId':'e89baa38-f756-4f7e-bbac-40c57c7c6e00','Col':6,'Row':20,'ColDynamic':6,'RowDynamic':19,'Format':'numberic','Value':'','TargetCode':''}</v>
      </c>
    </row>
    <row r="49" ht="12.75">
      <c r="A49" t="str">
        <f>CONCATENATE("{'SheetId':'05a3e0c8-b8c2-4245-bdc5-cb015cdcc9dd'",",","'UId':'bf9262a8-27c7-4fec-8b63-7915d0356d2c'",",'Col':",COLUMN(BCTaiSan_06116!D21),",'Row':",ROW(BCTaiSan_06116!D21),",","'Format':'numberic'",",'Value':'",SUBSTITUTE(BCTaiSan_06116!D21,"'","\'"),"','TargetCode':''}")</f>
        <v>{'SheetId':'05a3e0c8-b8c2-4245-bdc5-cb015cdcc9dd','UId':'bf9262a8-27c7-4fec-8b63-7915d0356d2c','Col':4,'Row':21,'Format':'numberic','Value':'','TargetCode':''}</v>
      </c>
    </row>
    <row r="50" ht="12.75">
      <c r="A50" t="str">
        <f>CONCATENATE("{'SheetId':'05a3e0c8-b8c2-4245-bdc5-cb015cdcc9dd'",",","'UId':'adecbbe7-cc33-4dd4-9f55-02a7cf5dd3ff'",",'Col':",COLUMN(BCTaiSan_06116!E21),",'Row':",ROW(BCTaiSan_06116!E21),",","'Format':'numberic'",",'Value':'",SUBSTITUTE(BCTaiSan_06116!E21,"'","\'"),"','TargetCode':''}")</f>
        <v>{'SheetId':'05a3e0c8-b8c2-4245-bdc5-cb015cdcc9dd','UId':'adecbbe7-cc33-4dd4-9f55-02a7cf5dd3ff','Col':5,'Row':21,'Format':'numberic','Value':'','TargetCode':''}</v>
      </c>
    </row>
    <row r="51" ht="12.75">
      <c r="A51" t="str">
        <f>CONCATENATE("{'SheetId':'05a3e0c8-b8c2-4245-bdc5-cb015cdcc9dd'",",","'UId':'c23a4c12-568c-41e9-ad0d-ea8667b24dfd'",",'Col':",COLUMN(BCTaiSan_06116!F21),",'Row':",ROW(BCTaiSan_06116!F21),",","'Format':'numberic'",",'Value':'",SUBSTITUTE(BCTaiSan_06116!F21,"'","\'"),"','TargetCode':''}")</f>
        <v>{'SheetId':'05a3e0c8-b8c2-4245-bdc5-cb015cdcc9dd','UId':'c23a4c12-568c-41e9-ad0d-ea8667b24dfd','Col':6,'Row':21,'Format':'numberic','Value':'','TargetCode':''}</v>
      </c>
    </row>
    <row r="52" ht="12.75">
      <c r="A52" t="str">
        <f>CONCATENATE("{'SheetId':'05a3e0c8-b8c2-4245-bdc5-cb015cdcc9dd'",",","'UId':'3a5dbe8a-a5bb-4660-a022-4ff64633e32c'",",'Col':",COLUMN(BCTaiSan_06116!A23),",'Row':",ROW(BCTaiSan_06116!A23),",","'ColDynamic':",COLUMN(BCTaiSan_06116!A23),",","'RowDynamic':",ROW(BCTaiSan_06116!A23),",","'Format':'numberic'",",'Value':'",SUBSTITUTE(BCTaiSan_06116!A23,"'","\'"),"','TargetCode':''}")</f>
        <v>{'SheetId':'05a3e0c8-b8c2-4245-bdc5-cb015cdcc9dd','UId':'3a5dbe8a-a5bb-4660-a022-4ff64633e32c','Col':1,'Row':23,'ColDynamic':1,'RowDynamic':23,'Format':'numberic','Value':'','TargetCode':''}</v>
      </c>
    </row>
    <row r="53" ht="12.75">
      <c r="A53" t="str">
        <f>CONCATENATE("{'SheetId':'05a3e0c8-b8c2-4245-bdc5-cb015cdcc9dd'",",","'UId':'4ef5a6e7-2d37-4db6-8cfc-6ddd958d57e6'",",'Col':",COLUMN(BCTaiSan_06116!B23),",'Row':",ROW(BCTaiSan_06116!B23),",","'ColDynamic':",COLUMN(BCTaiSan_06116!B23),",","'RowDynamic':",ROW(BCTaiSan_06116!B23),",","'Format':'string'",",'Value':'",SUBSTITUTE(BCTaiSan_06116!B23,"'","\'"),"','TargetCode':''}")</f>
        <v>{'SheetId':'05a3e0c8-b8c2-4245-bdc5-cb015cdcc9dd','UId':'4ef5a6e7-2d37-4db6-8cfc-6ddd958d57e6','Col':2,'Row':23,'ColDynamic':2,'RowDynamic':23,'Format':'string','Value':'...','TargetCode':''}</v>
      </c>
    </row>
    <row r="54" ht="12.75">
      <c r="A54" t="str">
        <f>CONCATENATE("{'SheetId':'05a3e0c8-b8c2-4245-bdc5-cb015cdcc9dd'",",","'UId':'c2e6b08b-c6e9-42d3-90cd-afbc67b815fb'",",'Col':",COLUMN(BCTaiSan_06116!C23),",'Row':",ROW(BCTaiSan_06116!C23),",","'ColDynamic':",COLUMN(BCTaiSan_06116!C23),",","'RowDynamic':",ROW(BCTaiSan_06116!C23),",","'Format':'numberic'",",'Value':'",SUBSTITUTE(BCTaiSan_06116!C23,"'","\'"),"','TargetCode':''}")</f>
        <v>{'SheetId':'05a3e0c8-b8c2-4245-bdc5-cb015cdcc9dd','UId':'c2e6b08b-c6e9-42d3-90cd-afbc67b815fb','Col':3,'Row':23,'ColDynamic':3,'RowDynamic':23,'Format':'numberic','Value':'','TargetCode':''}</v>
      </c>
    </row>
    <row r="55" ht="12.75">
      <c r="A55" t="str">
        <f>CONCATENATE("{'SheetId':'05a3e0c8-b8c2-4245-bdc5-cb015cdcc9dd'",",","'UId':'74b4ba21-1763-4df9-9082-cd41ec9ee4cb'",",'Col':",COLUMN(BCTaiSan_06116!D23),",'Row':",ROW(BCTaiSan_06116!D23),",","'ColDynamic':",COLUMN(BCTaiSan_06116!D23),",","'RowDynamic':",ROW(BCTaiSan_06116!D23),",","'Format':'numberic'",",'Value':'",SUBSTITUTE(BCTaiSan_06116!D23,"'","\'"),"','TargetCode':''}")</f>
        <v>{'SheetId':'05a3e0c8-b8c2-4245-bdc5-cb015cdcc9dd','UId':'74b4ba21-1763-4df9-9082-cd41ec9ee4cb','Col':4,'Row':23,'ColDynamic':4,'RowDynamic':23,'Format':'numberic','Value':'','TargetCode':''}</v>
      </c>
    </row>
    <row r="56" ht="12.75">
      <c r="A56" t="str">
        <f>CONCATENATE("{'SheetId':'05a3e0c8-b8c2-4245-bdc5-cb015cdcc9dd'",",","'UId':'04481fe7-fb11-470b-bd7e-6ceed8478463'",",'Col':",COLUMN(BCTaiSan_06116!E23),",'Row':",ROW(BCTaiSan_06116!E23),",","'ColDynamic':",COLUMN(BCTaiSan_06116!E23),",","'RowDynamic':",ROW(BCTaiSan_06116!E23),",","'Format':'numberic'",",'Value':'",SUBSTITUTE(BCTaiSan_06116!E23,"'","\'"),"','TargetCode':''}")</f>
        <v>{'SheetId':'05a3e0c8-b8c2-4245-bdc5-cb015cdcc9dd','UId':'04481fe7-fb11-470b-bd7e-6ceed8478463','Col':5,'Row':23,'ColDynamic':5,'RowDynamic':23,'Format':'numberic','Value':'','TargetCode':''}</v>
      </c>
    </row>
    <row r="57" ht="12.75">
      <c r="A57" t="str">
        <f>CONCATENATE("{'SheetId':'05a3e0c8-b8c2-4245-bdc5-cb015cdcc9dd'",",","'UId':'48f9fc47-9ffb-4e66-ab17-0f79ee8bd0f6'",",'Col':",COLUMN(BCTaiSan_06116!F23),",'Row':",ROW(BCTaiSan_06116!F23),",","'ColDynamic':",COLUMN(BCTaiSan_06116!F22),",","'RowDynamic':",ROW(BCTaiSan_06116!F22),",","'Format':'numberic'",",'Value':'",SUBSTITUTE(BCTaiSan_06116!F23,"'","\'"),"','TargetCode':''}")</f>
        <v>{'SheetId':'05a3e0c8-b8c2-4245-bdc5-cb015cdcc9dd','UId':'48f9fc47-9ffb-4e66-ab17-0f79ee8bd0f6','Col':6,'Row':23,'ColDynamic':6,'RowDynamic':22,'Format':'numberic','Value':'','TargetCode':''}</v>
      </c>
    </row>
    <row r="58" ht="12.75">
      <c r="A58" t="str">
        <f>CONCATENATE("{'SheetId':'05a3e0c8-b8c2-4245-bdc5-cb015cdcc9dd'",",","'UId':'84b0df7d-89c8-4f25-bffe-7dc20e7801a6'",",'Col':",COLUMN(BCTaiSan_06116!D24),",'Row':",ROW(BCTaiSan_06116!D24),",","'Format':'numberic'",",'Value':'",SUBSTITUTE(BCTaiSan_06116!D24,"'","\'"),"','TargetCode':''}")</f>
        <v>{'SheetId':'05a3e0c8-b8c2-4245-bdc5-cb015cdcc9dd','UId':'84b0df7d-89c8-4f25-bffe-7dc20e7801a6','Col':4,'Row':24,'Format':'numberic','Value':' ','TargetCode':''}</v>
      </c>
    </row>
    <row r="59" ht="12.75">
      <c r="A59" t="str">
        <f>CONCATENATE("{'SheetId':'05a3e0c8-b8c2-4245-bdc5-cb015cdcc9dd'",",","'UId':'e1a4ea63-f89b-43bf-96d7-5098ca6737bc'",",'Col':",COLUMN(BCTaiSan_06116!E24),",'Row':",ROW(BCTaiSan_06116!E24),",","'Format':'numberic'",",'Value':'",SUBSTITUTE(BCTaiSan_06116!E24,"'","\'"),"','TargetCode':''}")</f>
        <v>{'SheetId':'05a3e0c8-b8c2-4245-bdc5-cb015cdcc9dd','UId':'e1a4ea63-f89b-43bf-96d7-5098ca6737bc','Col':5,'Row':24,'Format':'numberic','Value':' ','TargetCode':''}</v>
      </c>
    </row>
    <row r="60" ht="12.75">
      <c r="A60" t="str">
        <f>CONCATENATE("{'SheetId':'05a3e0c8-b8c2-4245-bdc5-cb015cdcc9dd'",",","'UId':'192f811c-d08c-4dd4-b36b-d9cf7b98f83f'",",'Col':",COLUMN(BCTaiSan_06116!F24),",'Row':",ROW(BCTaiSan_06116!F24),",","'Format':'numberic'",",'Value':'",SUBSTITUTE(BCTaiSan_06116!F24,"'","\'"),"','TargetCode':''}")</f>
        <v>{'SheetId':'05a3e0c8-b8c2-4245-bdc5-cb015cdcc9dd','UId':'192f811c-d08c-4dd4-b36b-d9cf7b98f83f','Col':6,'Row':24,'Format':'numberic','Value':'','TargetCode':''}</v>
      </c>
    </row>
    <row r="61" ht="12.75">
      <c r="A61" t="str">
        <f>CONCATENATE("{'SheetId':'05a3e0c8-b8c2-4245-bdc5-cb015cdcc9dd'",",","'UId':'a18b72be-6573-40f7-83d8-235bd98dc8a0'",",'Col':",COLUMN(BCTaiSan_06116!A26),",'Row':",ROW(BCTaiSan_06116!A26),",","'ColDynamic':",COLUMN(BCTaiSan_06116!A26),",","'RowDynamic':",ROW(BCTaiSan_06116!A26),",","'Format':'numberic'",",'Value':'",SUBSTITUTE(BCTaiSan_06116!A26,"'","\'"),"','TargetCode':''}")</f>
        <v>{'SheetId':'05a3e0c8-b8c2-4245-bdc5-cb015cdcc9dd','UId':'a18b72be-6573-40f7-83d8-235bd98dc8a0','Col':1,'Row':26,'ColDynamic':1,'RowDynamic':26,'Format':'numberic','Value':'','TargetCode':''}</v>
      </c>
    </row>
    <row r="62" ht="12.75">
      <c r="A62" t="str">
        <f>CONCATENATE("{'SheetId':'05a3e0c8-b8c2-4245-bdc5-cb015cdcc9dd'",",","'UId':'6a36e59b-e40a-4ae3-a5d6-bae2a9957b10'",",'Col':",COLUMN(BCTaiSan_06116!B26),",'Row':",ROW(BCTaiSan_06116!B26),",","'ColDynamic':",COLUMN(BCTaiSan_06116!B26),",","'RowDynamic':",ROW(BCTaiSan_06116!B26),",","'Format':'string'",",'Value':'",SUBSTITUTE(BCTaiSan_06116!B26,"'","\'"),"','TargetCode':''}")</f>
        <v>{'SheetId':'05a3e0c8-b8c2-4245-bdc5-cb015cdcc9dd','UId':'6a36e59b-e40a-4ae3-a5d6-bae2a9957b10','Col':2,'Row':26,'ColDynamic':2,'RowDynamic':26,'Format':'string','Value':'...','TargetCode':''}</v>
      </c>
    </row>
    <row r="63" ht="12.75">
      <c r="A63" t="str">
        <f>CONCATENATE("{'SheetId':'05a3e0c8-b8c2-4245-bdc5-cb015cdcc9dd'",",","'UId':'62277738-1094-4493-b79c-25de60017a70'",",'Col':",COLUMN(BCTaiSan_06116!C26),",'Row':",ROW(BCTaiSan_06116!C26),",","'ColDynamic':",COLUMN(BCTaiSan_06116!C26),",","'RowDynamic':",ROW(BCTaiSan_06116!C26),",","'Format':'numberic'",",'Value':'",SUBSTITUTE(BCTaiSan_06116!C26,"'","\'"),"','TargetCode':''}")</f>
        <v>{'SheetId':'05a3e0c8-b8c2-4245-bdc5-cb015cdcc9dd','UId':'62277738-1094-4493-b79c-25de60017a70','Col':3,'Row':26,'ColDynamic':3,'RowDynamic':26,'Format':'numberic','Value':'','TargetCode':''}</v>
      </c>
    </row>
    <row r="64" ht="12.75">
      <c r="A64" t="str">
        <f>CONCATENATE("{'SheetId':'05a3e0c8-b8c2-4245-bdc5-cb015cdcc9dd'",",","'UId':'61ee1368-600c-4431-a0ab-6fbcca798c17'",",'Col':",COLUMN(BCTaiSan_06116!D26),",'Row':",ROW(BCTaiSan_06116!D26),",","'ColDynamic':",COLUMN(BCTaiSan_06116!D26),",","'RowDynamic':",ROW(BCTaiSan_06116!D26),",","'Format':'numberic'",",'Value':'",SUBSTITUTE(BCTaiSan_06116!D26,"'","\'"),"','TargetCode':''}")</f>
        <v>{'SheetId':'05a3e0c8-b8c2-4245-bdc5-cb015cdcc9dd','UId':'61ee1368-600c-4431-a0ab-6fbcca798c17','Col':4,'Row':26,'ColDynamic':4,'RowDynamic':26,'Format':'numberic','Value':'','TargetCode':''}</v>
      </c>
    </row>
    <row r="65" ht="12.75">
      <c r="A65" t="str">
        <f>CONCATENATE("{'SheetId':'05a3e0c8-b8c2-4245-bdc5-cb015cdcc9dd'",",","'UId':'6928f17d-4e02-44a3-bb60-e84557b8b46c'",",'Col':",COLUMN(BCTaiSan_06116!E26),",'Row':",ROW(BCTaiSan_06116!E26),",","'ColDynamic':",COLUMN(BCTaiSan_06116!E26),",","'RowDynamic':",ROW(BCTaiSan_06116!E26),",","'Format':'numberic'",",'Value':'",SUBSTITUTE(BCTaiSan_06116!E26,"'","\'"),"','TargetCode':''}")</f>
        <v>{'SheetId':'05a3e0c8-b8c2-4245-bdc5-cb015cdcc9dd','UId':'6928f17d-4e02-44a3-bb60-e84557b8b46c','Col':5,'Row':26,'ColDynamic':5,'RowDynamic':26,'Format':'numberic','Value':'','TargetCode':''}</v>
      </c>
    </row>
    <row r="66" ht="12.75">
      <c r="A66" t="str">
        <f>CONCATENATE("{'SheetId':'05a3e0c8-b8c2-4245-bdc5-cb015cdcc9dd'",",","'UId':'171b80e5-4951-4136-a3c2-cf03b28dd055'",",'Col':",COLUMN(BCTaiSan_06116!F26),",'Row':",ROW(BCTaiSan_06116!F26),",","'ColDynamic':",COLUMN(BCTaiSan_06116!F25),",","'RowDynamic':",ROW(BCTaiSan_06116!F25),",","'Format':'numberic'",",'Value':'",SUBSTITUTE(BCTaiSan_06116!F26,"'","\'"),"','TargetCode':''}")</f>
        <v>{'SheetId':'05a3e0c8-b8c2-4245-bdc5-cb015cdcc9dd','UId':'171b80e5-4951-4136-a3c2-cf03b28dd055','Col':6,'Row':26,'ColDynamic':6,'RowDynamic':25,'Format':'numberic','Value':'','TargetCode':''}</v>
      </c>
    </row>
    <row r="67" ht="12.75">
      <c r="A67" t="str">
        <f>CONCATENATE("{'SheetId':'05a3e0c8-b8c2-4245-bdc5-cb015cdcc9dd'",",","'UId':'b1ef7a1d-0bab-4e60-a259-17ad33c5902d'",",'Col':",COLUMN(BCTaiSan_06116!D27),",'Row':",ROW(BCTaiSan_06116!D27),",","'Format':'numberic'",",'Value':'",SUBSTITUTE(BCTaiSan_06116!D27,"'","\'"),"','TargetCode':''}")</f>
        <v>{'SheetId':'05a3e0c8-b8c2-4245-bdc5-cb015cdcc9dd','UId':'b1ef7a1d-0bab-4e60-a259-17ad33c5902d','Col':4,'Row':27,'Format':'numberic','Value':'45901357529','TargetCode':''}</v>
      </c>
    </row>
    <row r="68" ht="12.75">
      <c r="A68" t="str">
        <f>CONCATENATE("{'SheetId':'05a3e0c8-b8c2-4245-bdc5-cb015cdcc9dd'",",","'UId':'dab0ba08-c564-4776-8319-11ed358c7cfb'",",'Col':",COLUMN(BCTaiSan_06116!E27),",'Row':",ROW(BCTaiSan_06116!E27),",","'Format':'numberic'",",'Value':'",SUBSTITUTE(BCTaiSan_06116!E27,"'","\'"),"','TargetCode':''}")</f>
        <v>{'SheetId':'05a3e0c8-b8c2-4245-bdc5-cb015cdcc9dd','UId':'dab0ba08-c564-4776-8319-11ed358c7cfb','Col':5,'Row':27,'Format':'numberic','Value':'48368487879','TargetCode':''}</v>
      </c>
    </row>
    <row r="69" ht="12.75">
      <c r="A69" t="str">
        <f>CONCATENATE("{'SheetId':'05a3e0c8-b8c2-4245-bdc5-cb015cdcc9dd'",",","'UId':'c0bd8a5c-d444-450e-b56a-40cacf1ed533'",",'Col':",COLUMN(BCTaiSan_06116!F27),",'Row':",ROW(BCTaiSan_06116!F27),",","'Format':'numberic'",",'Value':'",SUBSTITUTE(BCTaiSan_06116!F27,"'","\'"),"','TargetCode':''}")</f>
        <v>{'SheetId':'05a3e0c8-b8c2-4245-bdc5-cb015cdcc9dd','UId':'c0bd8a5c-d444-450e-b56a-40cacf1ed533','Col':6,'Row':27,'Format':'numberic','Value':'0.891388479327378','TargetCode':''}</v>
      </c>
    </row>
    <row r="70" ht="12.75">
      <c r="A70" t="str">
        <f>CONCATENATE("{'SheetId':'05a3e0c8-b8c2-4245-bdc5-cb015cdcc9dd'",",","'UId':'c5ccf9ed-6884-41ac-a35a-dfbcf23121ac'",",'Col':",COLUMN(BCTaiSan_06116!D28),",'Row':",ROW(BCTaiSan_06116!D28),",","'Format':'numberic'",",'Value':'",SUBSTITUTE(BCTaiSan_06116!D28,"'","\'"),"','TargetCode':''}")</f>
        <v>{'SheetId':'05a3e0c8-b8c2-4245-bdc5-cb015cdcc9dd','UId':'c5ccf9ed-6884-41ac-a35a-dfbcf23121ac','Col':4,'Row':28,'Format':'numberic','Value':' ','TargetCode':''}</v>
      </c>
    </row>
    <row r="71" ht="12.75">
      <c r="A71" t="str">
        <f>CONCATENATE("{'SheetId':'05a3e0c8-b8c2-4245-bdc5-cb015cdcc9dd'",",","'UId':'957bd4e1-8ae1-410f-97da-744423ac067a'",",'Col':",COLUMN(BCTaiSan_06116!E28),",'Row':",ROW(BCTaiSan_06116!E28),",","'Format':'numberic'",",'Value':'",SUBSTITUTE(BCTaiSan_06116!E28,"'","\'"),"','TargetCode':''}")</f>
        <v>{'SheetId':'05a3e0c8-b8c2-4245-bdc5-cb015cdcc9dd','UId':'957bd4e1-8ae1-410f-97da-744423ac067a','Col':5,'Row':28,'Format':'numberic','Value':' ','TargetCode':''}</v>
      </c>
    </row>
    <row r="72" ht="12.75">
      <c r="A72" t="str">
        <f>CONCATENATE("{'SheetId':'05a3e0c8-b8c2-4245-bdc5-cb015cdcc9dd'",",","'UId':'77f3b6f8-da82-4059-a841-135a40c75f86'",",'Col':",COLUMN(BCTaiSan_06116!F28),",'Row':",ROW(BCTaiSan_06116!F28),",","'Format':'numberic'",",'Value':'",SUBSTITUTE(BCTaiSan_06116!F28,"'","\'"),"','TargetCode':''}")</f>
        <v>{'SheetId':'05a3e0c8-b8c2-4245-bdc5-cb015cdcc9dd','UId':'77f3b6f8-da82-4059-a841-135a40c75f86','Col':6,'Row':28,'Format':'numberic','Value':'','TargetCode':''}</v>
      </c>
    </row>
    <row r="73" ht="12.75">
      <c r="A73" t="str">
        <f>CONCATENATE("{'SheetId':'05a3e0c8-b8c2-4245-bdc5-cb015cdcc9dd'",",","'UId':'f8504c8f-6ccf-4464-96e6-663a479b02f6'",",'Col':",COLUMN(BCTaiSan_06116!D29),",'Row':",ROW(BCTaiSan_06116!D29),",","'Format':'numberic'",",'Value':'",SUBSTITUTE(BCTaiSan_06116!D29,"'","\'"),"','TargetCode':''}")</f>
        <v>{'SheetId':'05a3e0c8-b8c2-4245-bdc5-cb015cdcc9dd','UId':'f8504c8f-6ccf-4464-96e6-663a479b02f6','Col':4,'Row':29,'Format':'numberic','Value':' ','TargetCode':''}</v>
      </c>
    </row>
    <row r="74" ht="12.75">
      <c r="A74" t="str">
        <f>CONCATENATE("{'SheetId':'05a3e0c8-b8c2-4245-bdc5-cb015cdcc9dd'",",","'UId':'471fcc73-33bd-46ae-a9cb-e73b1678488d'",",'Col':",COLUMN(BCTaiSan_06116!E29),",'Row':",ROW(BCTaiSan_06116!E29),",","'Format':'numberic'",",'Value':'",SUBSTITUTE(BCTaiSan_06116!E29,"'","\'"),"','TargetCode':''}")</f>
        <v>{'SheetId':'05a3e0c8-b8c2-4245-bdc5-cb015cdcc9dd','UId':'471fcc73-33bd-46ae-a9cb-e73b1678488d','Col':5,'Row':29,'Format':'numberic','Value':' ','TargetCode':''}</v>
      </c>
    </row>
    <row r="75" ht="12.75">
      <c r="A75" t="str">
        <f>CONCATENATE("{'SheetId':'05a3e0c8-b8c2-4245-bdc5-cb015cdcc9dd'",",","'UId':'c983a9a7-9a64-447d-81b0-571b788f1c2b'",",'Col':",COLUMN(BCTaiSan_06116!F29),",'Row':",ROW(BCTaiSan_06116!F29),",","'Format':'numberic'",",'Value':'",SUBSTITUTE(BCTaiSan_06116!F29,"'","\'"),"','TargetCode':''}")</f>
        <v>{'SheetId':'05a3e0c8-b8c2-4245-bdc5-cb015cdcc9dd','UId':'c983a9a7-9a64-447d-81b0-571b788f1c2b','Col':6,'Row':29,'Format':'numberic','Value':'','TargetCode':''}</v>
      </c>
    </row>
    <row r="76" ht="12.75">
      <c r="A76" t="str">
        <f>CONCATENATE("{'SheetId':'05a3e0c8-b8c2-4245-bdc5-cb015cdcc9dd'",",","'UId':'96390b5b-78e0-4090-bfb0-c98d8a139f8c'",",'Col':",COLUMN(BCTaiSan_06116!A31),",'Row':",ROW(BCTaiSan_06116!A31),",","'ColDynamic':",COLUMN(BCTaiSan_06116!A27),",","'RowDynamic':",ROW(BCTaiSan_06116!A27),",","'Format':'numberic'",",'Value':'",SUBSTITUTE(BCTaiSan_06116!A31,"'","\'"),"','TargetCode':''}")</f>
        <v>{'SheetId':'05a3e0c8-b8c2-4245-bdc5-cb015cdcc9dd','UId':'96390b5b-78e0-4090-bfb0-c98d8a139f8c','Col':1,'Row':31,'ColDynamic':1,'RowDynamic':27,'Format':'numberic','Value':' ','TargetCode':''}</v>
      </c>
    </row>
    <row r="77" ht="12.75">
      <c r="A77" t="str">
        <f>CONCATENATE("{'SheetId':'05a3e0c8-b8c2-4245-bdc5-cb015cdcc9dd'",",","'UId':'fb40ae82-d335-4a71-89e5-cd24b1074d28'",",'Col':",COLUMN(BCTaiSan_06116!B31),",'Row':",ROW(BCTaiSan_06116!B31),",","'ColDynamic':",COLUMN(BCTaiSan_06116!B27),",","'RowDynamic':",ROW(BCTaiSan_06116!B27),",","'Format':'string'",",'Value':'",SUBSTITUTE(BCTaiSan_06116!B31,"'","\'"),"','TargetCode':''}")</f>
        <v>{'SheetId':'05a3e0c8-b8c2-4245-bdc5-cb015cdcc9dd','UId':'fb40ae82-d335-4a71-89e5-cd24b1074d28','Col':2,'Row':31,'ColDynamic':2,'RowDynamic':27,'Format':'string','Value':'...','TargetCode':''}</v>
      </c>
    </row>
    <row r="78" ht="12.75">
      <c r="A78" t="str">
        <f>CONCATENATE("{'SheetId':'05a3e0c8-b8c2-4245-bdc5-cb015cdcc9dd'",",","'UId':'a51ac4f6-7011-454c-af28-0d611fefdd2f'",",'Col':",COLUMN(BCTaiSan_06116!C31),",'Row':",ROW(BCTaiSan_06116!C31),",","'ColDynamic':",COLUMN(BCTaiSan_06116!C27),",","'RowDynamic':",ROW(BCTaiSan_06116!C27),",","'Format':'numberic'",",'Value':'",SUBSTITUTE(BCTaiSan_06116!C31,"'","\'"),"','TargetCode':''}")</f>
        <v>{'SheetId':'05a3e0c8-b8c2-4245-bdc5-cb015cdcc9dd','UId':'a51ac4f6-7011-454c-af28-0d611fefdd2f','Col':3,'Row':31,'ColDynamic':3,'RowDynamic':27,'Format':'numberic','Value':'','TargetCode':''}</v>
      </c>
    </row>
    <row r="79" ht="12.75">
      <c r="A79" t="str">
        <f>CONCATENATE("{'SheetId':'05a3e0c8-b8c2-4245-bdc5-cb015cdcc9dd'",",","'UId':'42245b23-aee7-415d-b152-137d7d3b0bc5'",",'Col':",COLUMN(BCTaiSan_06116!D31),",'Row':",ROW(BCTaiSan_06116!D31),",","'ColDynamic':",COLUMN(BCTaiSan_06116!D27),",","'RowDynamic':",ROW(BCTaiSan_06116!D27),",","'Format':'numberic'",",'Value':'",SUBSTITUTE(BCTaiSan_06116!D31,"'","\'"),"','TargetCode':''}")</f>
        <v>{'SheetId':'05a3e0c8-b8c2-4245-bdc5-cb015cdcc9dd','UId':'42245b23-aee7-415d-b152-137d7d3b0bc5','Col':4,'Row':31,'ColDynamic':4,'RowDynamic':27,'Format':'numberic','Value':' ','TargetCode':''}</v>
      </c>
    </row>
    <row r="80" ht="12.75">
      <c r="A80" t="str">
        <f>CONCATENATE("{'SheetId':'05a3e0c8-b8c2-4245-bdc5-cb015cdcc9dd'",",","'UId':'eb42dc2e-c216-4ea7-be8d-f576bd4d01c0'",",'Col':",COLUMN(BCTaiSan_06116!E31),",'Row':",ROW(BCTaiSan_06116!E31),",","'ColDynamic':",COLUMN(BCTaiSan_06116!E27),",","'RowDynamic':",ROW(BCTaiSan_06116!E27),",","'Format':'numberic'",",'Value':'",SUBSTITUTE(BCTaiSan_06116!E31,"'","\'"),"','TargetCode':''}")</f>
        <v>{'SheetId':'05a3e0c8-b8c2-4245-bdc5-cb015cdcc9dd','UId':'eb42dc2e-c216-4ea7-be8d-f576bd4d01c0','Col':5,'Row':31,'ColDynamic':5,'RowDynamic':27,'Format':'numberic','Value':' ','TargetCode':''}</v>
      </c>
    </row>
    <row r="81" ht="12.75">
      <c r="A81" t="str">
        <f>CONCATENATE("{'SheetId':'05a3e0c8-b8c2-4245-bdc5-cb015cdcc9dd'",",","'UId':'e9348901-5263-47a7-a6f7-6b0d62ee12ba'",",'Col':",COLUMN(BCTaiSan_06116!F31),",'Row':",ROW(BCTaiSan_06116!F31),",","'ColDynamic':",COLUMN(BCTaiSan_06116!F30),",","'RowDynamic':",ROW(BCTaiSan_06116!F30),",","'Format':'numberic'",",'Value':'",SUBSTITUTE(BCTaiSan_06116!F31,"'","\'"),"','TargetCode':''}")</f>
        <v>{'SheetId':'05a3e0c8-b8c2-4245-bdc5-cb015cdcc9dd','UId':'e9348901-5263-47a7-a6f7-6b0d62ee12ba','Col':6,'Row':31,'ColDynamic':6,'RowDynamic':30,'Format':'numberic','Value':'','TargetCode':''}</v>
      </c>
    </row>
    <row r="82" ht="12.75">
      <c r="A82" t="str">
        <f>CONCATENATE("{'SheetId':'05a3e0c8-b8c2-4245-bdc5-cb015cdcc9dd'",",","'UId':'4ec0ce07-6a6b-45a5-8602-d8449d5adb70'",",'Col':",COLUMN(BCTaiSan_06116!D32),",'Row':",ROW(BCTaiSan_06116!D32),",","'Format':'numberic'",",'Value':'",SUBSTITUTE(BCTaiSan_06116!D32,"'","\'"),"','TargetCode':''}")</f>
        <v>{'SheetId':'05a3e0c8-b8c2-4245-bdc5-cb015cdcc9dd','UId':'4ec0ce07-6a6b-45a5-8602-d8449d5adb70','Col':4,'Row':32,'Format':'numberic','Value':'865590000','TargetCode':''}</v>
      </c>
    </row>
    <row r="83" ht="12.75">
      <c r="A83" t="str">
        <f>CONCATENATE("{'SheetId':'05a3e0c8-b8c2-4245-bdc5-cb015cdcc9dd'",",","'UId':'51252186-fe0c-4867-8d7a-21224a0b4499'",",'Col':",COLUMN(BCTaiSan_06116!E32),",'Row':",ROW(BCTaiSan_06116!E32),",","'Format':'numberic'",",'Value':'",SUBSTITUTE(BCTaiSan_06116!E32,"'","\'"),"','TargetCode':''}")</f>
        <v>{'SheetId':'05a3e0c8-b8c2-4245-bdc5-cb015cdcc9dd','UId':'51252186-fe0c-4867-8d7a-21224a0b4499','Col':5,'Row':32,'Format':'numberic','Value':'3288240000','TargetCode':''}</v>
      </c>
    </row>
    <row r="84" ht="12.75">
      <c r="A84" t="str">
        <f>CONCATENATE("{'SheetId':'05a3e0c8-b8c2-4245-bdc5-cb015cdcc9dd'",",","'UId':'3f2e5958-f7e6-4248-84d9-6118eb09f30b'",",'Col':",COLUMN(BCTaiSan_06116!F32),",'Row':",ROW(BCTaiSan_06116!F32),",","'Format':'numberic'",",'Value':'",SUBSTITUTE(BCTaiSan_06116!F32,"'","\'"),"','TargetCode':''}")</f>
        <v>{'SheetId':'05a3e0c8-b8c2-4245-bdc5-cb015cdcc9dd','UId':'3f2e5958-f7e6-4248-84d9-6118eb09f30b','Col':6,'Row':32,'Format':'numberic','Value':'','TargetCode':''}</v>
      </c>
    </row>
    <row r="85" ht="12.75">
      <c r="A85" t="str">
        <f>CONCATENATE("{'SheetId':'05a3e0c8-b8c2-4245-bdc5-cb015cdcc9dd'",",","'UId':'0bcf3e75-2d9b-4f1b-ac5b-bc9163f306e7'",",'Col':",COLUMN(BCTaiSan_06116!D33),",'Row':",ROW(BCTaiSan_06116!D33),",","'Format':'numberic'",",'Value':'",SUBSTITUTE(BCTaiSan_06116!D33,"'","\'"),"','TargetCode':''}")</f>
        <v>{'SheetId':'05a3e0c8-b8c2-4245-bdc5-cb015cdcc9dd','UId':'0bcf3e75-2d9b-4f1b-ac5b-bc9163f306e7','Col':4,'Row':33,'Format':'numberic','Value':'865590000','TargetCode':''}</v>
      </c>
    </row>
    <row r="86" ht="12.75">
      <c r="A86" t="str">
        <f>CONCATENATE("{'SheetId':'05a3e0c8-b8c2-4245-bdc5-cb015cdcc9dd'",",","'UId':'c2a8fc38-04a2-4fe1-813c-60800fa2b0f4'",",'Col':",COLUMN(BCTaiSan_06116!E33),",'Row':",ROW(BCTaiSan_06116!E33),",","'Format':'numberic'",",'Value':'",SUBSTITUTE(BCTaiSan_06116!E33,"'","\'"),"','TargetCode':''}")</f>
        <v>{'SheetId':'05a3e0c8-b8c2-4245-bdc5-cb015cdcc9dd','UId':'c2a8fc38-04a2-4fe1-813c-60800fa2b0f4','Col':5,'Row':33,'Format':'numberic','Value':'3288240000','TargetCode':''}</v>
      </c>
    </row>
    <row r="87" ht="12.75">
      <c r="A87" t="str">
        <f>CONCATENATE("{'SheetId':'05a3e0c8-b8c2-4245-bdc5-cb015cdcc9dd'",",","'UId':'e972d912-d4dc-481d-96e0-c2cb7feae2c7'",",'Col':",COLUMN(BCTaiSan_06116!F33),",'Row':",ROW(BCTaiSan_06116!F33),",","'Format':'numberic'",",'Value':'",SUBSTITUTE(BCTaiSan_06116!F33,"'","\'"),"','TargetCode':''}")</f>
        <v>{'SheetId':'05a3e0c8-b8c2-4245-bdc5-cb015cdcc9dd','UId':'e972d912-d4dc-481d-96e0-c2cb7feae2c7','Col':6,'Row':33,'Format':'numberic','Value':'','TargetCode':''}</v>
      </c>
    </row>
    <row r="88" ht="12.75">
      <c r="A88" t="str">
        <f>CONCATENATE("{'SheetId':'05a3e0c8-b8c2-4245-bdc5-cb015cdcc9dd'",",","'UId':'f88fd525-5095-4064-abd2-6adfbe0e6d01'",",'Col':",COLUMN(BCTaiSan_06116!D34),",'Row':",ROW(BCTaiSan_06116!D34),",","'Format':'numberic'",",'Value':'",SUBSTITUTE(BCTaiSan_06116!D34,"'","\'"),"','TargetCode':''}")</f>
        <v>{'SheetId':'05a3e0c8-b8c2-4245-bdc5-cb015cdcc9dd','UId':'f88fd525-5095-4064-abd2-6adfbe0e6d01','Col':4,'Row':34,'Format':'numberic','Value':'','TargetCode':''}</v>
      </c>
    </row>
    <row r="89" ht="12.75">
      <c r="A89" t="str">
        <f>CONCATENATE("{'SheetId':'05a3e0c8-b8c2-4245-bdc5-cb015cdcc9dd'",",","'UId':'13e5424a-4151-4193-919f-49551364e342'",",'Col':",COLUMN(BCTaiSan_06116!E34),",'Row':",ROW(BCTaiSan_06116!E34),",","'Format':'numberic'",",'Value':'",SUBSTITUTE(BCTaiSan_06116!E34,"'","\'"),"','TargetCode':''}")</f>
        <v>{'SheetId':'05a3e0c8-b8c2-4245-bdc5-cb015cdcc9dd','UId':'13e5424a-4151-4193-919f-49551364e342','Col':5,'Row':34,'Format':'numberic','Value':'','TargetCode':''}</v>
      </c>
    </row>
    <row r="90" ht="12.75">
      <c r="A90" t="str">
        <f>CONCATENATE("{'SheetId':'05a3e0c8-b8c2-4245-bdc5-cb015cdcc9dd'",",","'UId':'11a8c912-df8e-4fe3-ab65-ef51b68d0bcb'",",'Col':",COLUMN(BCTaiSan_06116!F34),",'Row':",ROW(BCTaiSan_06116!F34),",","'Format':'numberic'",",'Value':'",SUBSTITUTE(BCTaiSan_06116!F34,"'","\'"),"','TargetCode':''}")</f>
        <v>{'SheetId':'05a3e0c8-b8c2-4245-bdc5-cb015cdcc9dd','UId':'11a8c912-df8e-4fe3-ab65-ef51b68d0bcb','Col':6,'Row':34,'Format':'numberic','Value':'','TargetCode':''}</v>
      </c>
    </row>
    <row r="91" ht="12.75">
      <c r="A91" t="str">
        <f>CONCATENATE("{'SheetId':'05a3e0c8-b8c2-4245-bdc5-cb015cdcc9dd'",",","'UId':'a381ad9f-872c-4f01-812e-6b8cb330afee'",",'Col':",COLUMN(BCTaiSan_06116!A36),",'Row':",ROW(BCTaiSan_06116!A36),",","'ColDynamic':",COLUMN(BCTaiSan_06116!A30),",","'RowDynamic':",ROW(BCTaiSan_06116!A30),",","'Format':'numberic'",",'Value':'",SUBSTITUTE(BCTaiSan_06116!A36,"'","\'"),"','TargetCode':''}")</f>
        <v>{'SheetId':'05a3e0c8-b8c2-4245-bdc5-cb015cdcc9dd','UId':'a381ad9f-872c-4f01-812e-6b8cb330afee','Col':1,'Row':36,'ColDynamic':1,'RowDynamic':30,'Format':'numberic','Value':' ','TargetCode':''}</v>
      </c>
    </row>
    <row r="92" ht="12.75">
      <c r="A92" t="str">
        <f>CONCATENATE("{'SheetId':'05a3e0c8-b8c2-4245-bdc5-cb015cdcc9dd'",",","'UId':'79f32d66-dc4f-47d2-8c8b-d6379e96d2fe'",",'Col':",COLUMN(BCTaiSan_06116!B36),",'Row':",ROW(BCTaiSan_06116!B36),",","'ColDynamic':",COLUMN(BCTaiSan_06116!B30),",","'RowDynamic':",ROW(BCTaiSan_06116!B30),",","'Format':'string'",",'Value':'",SUBSTITUTE(BCTaiSan_06116!B36,"'","\'"),"','TargetCode':''}")</f>
        <v>{'SheetId':'05a3e0c8-b8c2-4245-bdc5-cb015cdcc9dd','UId':'79f32d66-dc4f-47d2-8c8b-d6379e96d2fe','Col':2,'Row':36,'ColDynamic':2,'RowDynamic':30,'Format':'string','Value':'...','TargetCode':''}</v>
      </c>
    </row>
    <row r="93" ht="12.75">
      <c r="A93" t="str">
        <f>CONCATENATE("{'SheetId':'05a3e0c8-b8c2-4245-bdc5-cb015cdcc9dd'",",","'UId':'e15d7683-a387-4771-afd8-d04067558b0a'",",'Col':",COLUMN(BCTaiSan_06116!C36),",'Row':",ROW(BCTaiSan_06116!C36),",","'ColDynamic':",COLUMN(BCTaiSan_06116!C30),",","'RowDynamic':",ROW(BCTaiSan_06116!C30),",","'Format':'numberic'",",'Value':'",SUBSTITUTE(BCTaiSan_06116!C36,"'","\'"),"','TargetCode':''}")</f>
        <v>{'SheetId':'05a3e0c8-b8c2-4245-bdc5-cb015cdcc9dd','UId':'e15d7683-a387-4771-afd8-d04067558b0a','Col':3,'Row':36,'ColDynamic':3,'RowDynamic':30,'Format':'numberic','Value':'','TargetCode':''}</v>
      </c>
    </row>
    <row r="94" ht="12.75">
      <c r="A94" t="str">
        <f>CONCATENATE("{'SheetId':'05a3e0c8-b8c2-4245-bdc5-cb015cdcc9dd'",",","'UId':'06657586-4710-45c7-9ccf-66292faf0672'",",'Col':",COLUMN(BCTaiSan_06116!D36),",'Row':",ROW(BCTaiSan_06116!D36),",","'ColDynamic':",COLUMN(BCTaiSan_06116!D30),",","'RowDynamic':",ROW(BCTaiSan_06116!D30),",","'Format':'numberic'",",'Value':'",SUBSTITUTE(BCTaiSan_06116!D36,"'","\'"),"','TargetCode':''}")</f>
        <v>{'SheetId':'05a3e0c8-b8c2-4245-bdc5-cb015cdcc9dd','UId':'06657586-4710-45c7-9ccf-66292faf0672','Col':4,'Row':36,'ColDynamic':4,'RowDynamic':30,'Format':'numberic','Value':' ','TargetCode':''}</v>
      </c>
    </row>
    <row r="95" ht="12.75">
      <c r="A95" t="str">
        <f>CONCATENATE("{'SheetId':'05a3e0c8-b8c2-4245-bdc5-cb015cdcc9dd'",",","'UId':'54afad36-92bb-44e9-be11-7451fe5eb5c3'",",'Col':",COLUMN(BCTaiSan_06116!E36),",'Row':",ROW(BCTaiSan_06116!E36),",","'ColDynamic':",COLUMN(BCTaiSan_06116!E30),",","'RowDynamic':",ROW(BCTaiSan_06116!E30),",","'Format':'numberic'",",'Value':'",SUBSTITUTE(BCTaiSan_06116!E36,"'","\'"),"','TargetCode':''}")</f>
        <v>{'SheetId':'05a3e0c8-b8c2-4245-bdc5-cb015cdcc9dd','UId':'54afad36-92bb-44e9-be11-7451fe5eb5c3','Col':5,'Row':36,'ColDynamic':5,'RowDynamic':30,'Format':'numberic','Value':' ','TargetCode':''}</v>
      </c>
    </row>
    <row r="96" ht="12.75">
      <c r="A96" t="str">
        <f>CONCATENATE("{'SheetId':'05a3e0c8-b8c2-4245-bdc5-cb015cdcc9dd'",",","'UId':'67213983-b72a-4ce4-854b-b6cbdbe7d518'",",'Col':",COLUMN(BCTaiSan_06116!F36),",'Row':",ROW(BCTaiSan_06116!F36),",","'ColDynamic':",COLUMN(BCTaiSan_06116!F35),",","'RowDynamic':",ROW(BCTaiSan_06116!F35),",","'Format':'numberic'",",'Value':'",SUBSTITUTE(BCTaiSan_06116!F36,"'","\'"),"','TargetCode':''}")</f>
        <v>{'SheetId':'05a3e0c8-b8c2-4245-bdc5-cb015cdcc9dd','UId':'67213983-b72a-4ce4-854b-b6cbdbe7d518','Col':6,'Row':36,'ColDynamic':6,'RowDynamic':35,'Format':'numberic','Value':'','TargetCode':''}</v>
      </c>
    </row>
    <row r="97" ht="12.75">
      <c r="A97" t="str">
        <f>CONCATENATE("{'SheetId':'05a3e0c8-b8c2-4245-bdc5-cb015cdcc9dd'",",","'UId':'4d9f807d-e521-4390-ba7a-19ba76cedc2a'",",'Col':",COLUMN(BCTaiSan_06116!D37),",'Row':",ROW(BCTaiSan_06116!D37),",","'Format':'numberic'",",'Value':'",SUBSTITUTE(BCTaiSan_06116!D37,"'","\'"),"','TargetCode':''}")</f>
        <v>{'SheetId':'05a3e0c8-b8c2-4245-bdc5-cb015cdcc9dd','UId':'4d9f807d-e521-4390-ba7a-19ba76cedc2a','Col':4,'Row':37,'Format':'numberic','Value':'170068054','TargetCode':''}</v>
      </c>
    </row>
    <row r="98" ht="12.75">
      <c r="A98" t="str">
        <f>CONCATENATE("{'SheetId':'05a3e0c8-b8c2-4245-bdc5-cb015cdcc9dd'",",","'UId':'2ddd0933-6835-4948-a6b3-ebb04151d4c7'",",'Col':",COLUMN(BCTaiSan_06116!E37),",'Row':",ROW(BCTaiSan_06116!E37),",","'Format':'numberic'",",'Value':'",SUBSTITUTE(BCTaiSan_06116!E37,"'","\'"),"','TargetCode':''}")</f>
        <v>{'SheetId':'05a3e0c8-b8c2-4245-bdc5-cb015cdcc9dd','UId':'2ddd0933-6835-4948-a6b3-ebb04151d4c7','Col':5,'Row':37,'Format':'numberic','Value':'191305208','TargetCode':''}</v>
      </c>
    </row>
    <row r="99" ht="12.75">
      <c r="A99" t="str">
        <f>CONCATENATE("{'SheetId':'05a3e0c8-b8c2-4245-bdc5-cb015cdcc9dd'",",","'UId':'74eb4aec-1c22-43c3-99f2-733ba9960477'",",'Col':",COLUMN(BCTaiSan_06116!F37),",'Row':",ROW(BCTaiSan_06116!F37),",","'Format':'numberic'",",'Value':'",SUBSTITUTE(BCTaiSan_06116!F37,"'","\'"),"','TargetCode':''}")</f>
        <v>{'SheetId':'05a3e0c8-b8c2-4245-bdc5-cb015cdcc9dd','UId':'74eb4aec-1c22-43c3-99f2-733ba9960477','Col':6,'Row':37,'Format':'numberic','Value':'1.0063074251048','TargetCode':''}</v>
      </c>
    </row>
    <row r="100" ht="12.75">
      <c r="A100" t="str">
        <f>CONCATENATE("{'SheetId':'05a3e0c8-b8c2-4245-bdc5-cb015cdcc9dd'",",","'UId':'aea82158-c798-439d-8a35-e44d6c8ab6fb'",",'Col':",COLUMN(BCTaiSan_06116!A39),",'Row':",ROW(BCTaiSan_06116!A39),",","'ColDynamic':",COLUMN(BCTaiSan_06116!A37),",","'RowDynamic':",ROW(BCTaiSan_06116!A37),",","'Format':'numberic'",",'Value':'",SUBSTITUTE(BCTaiSan_06116!A39,"'","\'"),"','TargetCode':''}")</f>
        <v>{'SheetId':'05a3e0c8-b8c2-4245-bdc5-cb015cdcc9dd','UId':'aea82158-c798-439d-8a35-e44d6c8ab6fb','Col':1,'Row':39,'ColDynamic':1,'RowDynamic':37,'Format':'numberic','Value':'','TargetCode':''}</v>
      </c>
    </row>
    <row r="101" ht="12.75">
      <c r="A101" t="str">
        <f>CONCATENATE("{'SheetId':'05a3e0c8-b8c2-4245-bdc5-cb015cdcc9dd'",",","'UId':'035f3905-0090-420f-b66d-bec17b38910a'",",'Col':",COLUMN(BCTaiSan_06116!B39),",'Row':",ROW(BCTaiSan_06116!B39),",","'ColDynamic':",COLUMN(BCTaiSan_06116!B37),",","'RowDynamic':",ROW(BCTaiSan_06116!B37),",","'Format':'string'",",'Value':'",SUBSTITUTE(BCTaiSan_06116!B39,"'","\'"),"','TargetCode':''}")</f>
        <v>{'SheetId':'05a3e0c8-b8c2-4245-bdc5-cb015cdcc9dd','UId':'035f3905-0090-420f-b66d-bec17b38910a','Col':2,'Row':39,'ColDynamic':2,'RowDynamic':37,'Format':'string','Value':'...','TargetCode':''}</v>
      </c>
    </row>
    <row r="102" ht="12.75">
      <c r="A102" t="str">
        <f>CONCATENATE("{'SheetId':'05a3e0c8-b8c2-4245-bdc5-cb015cdcc9dd'",",","'UId':'b73903e1-088e-421c-bc62-f6eb832b47ce'",",'Col':",COLUMN(BCTaiSan_06116!C39),",'Row':",ROW(BCTaiSan_06116!C39),",","'ColDynamic':",COLUMN(BCTaiSan_06116!C37),",","'RowDynamic':",ROW(BCTaiSan_06116!C37),",","'Format':'numberic'",",'Value':'",SUBSTITUTE(BCTaiSan_06116!C39,"'","\'"),"','TargetCode':''}")</f>
        <v>{'SheetId':'05a3e0c8-b8c2-4245-bdc5-cb015cdcc9dd','UId':'b73903e1-088e-421c-bc62-f6eb832b47ce','Col':3,'Row':39,'ColDynamic':3,'RowDynamic':37,'Format':'numberic','Value':'','TargetCode':''}</v>
      </c>
    </row>
    <row r="103" ht="12.75">
      <c r="A103" t="str">
        <f>CONCATENATE("{'SheetId':'05a3e0c8-b8c2-4245-bdc5-cb015cdcc9dd'",",","'UId':'a4ea5ee8-1de0-40b9-a75c-0de6a725ac23'",",'Col':",COLUMN(BCTaiSan_06116!D39),",'Row':",ROW(BCTaiSan_06116!D39),",","'ColDynamic':",COLUMN(BCTaiSan_06116!D37),",","'RowDynamic':",ROW(BCTaiSan_06116!D37),",","'Format':'numberic'",",'Value':'",SUBSTITUTE(BCTaiSan_06116!D39,"'","\'"),"','TargetCode':''}")</f>
        <v>{'SheetId':'05a3e0c8-b8c2-4245-bdc5-cb015cdcc9dd','UId':'a4ea5ee8-1de0-40b9-a75c-0de6a725ac23','Col':4,'Row':39,'ColDynamic':4,'RowDynamic':37,'Format':'numberic','Value':'','TargetCode':''}</v>
      </c>
    </row>
    <row r="104" ht="12.75">
      <c r="A104" t="str">
        <f>CONCATENATE("{'SheetId':'05a3e0c8-b8c2-4245-bdc5-cb015cdcc9dd'",",","'UId':'a8f0a6b3-9106-4f05-a9e8-4be674535d7e'",",'Col':",COLUMN(BCTaiSan_06116!E39),",'Row':",ROW(BCTaiSan_06116!E39),",","'ColDynamic':",COLUMN(BCTaiSan_06116!E37),",","'RowDynamic':",ROW(BCTaiSan_06116!E37),",","'Format':'numberic'",",'Value':'",SUBSTITUTE(BCTaiSan_06116!E39,"'","\'"),"','TargetCode':''}")</f>
        <v>{'SheetId':'05a3e0c8-b8c2-4245-bdc5-cb015cdcc9dd','UId':'a8f0a6b3-9106-4f05-a9e8-4be674535d7e','Col':5,'Row':39,'ColDynamic':5,'RowDynamic':37,'Format':'numberic','Value':'','TargetCode':''}</v>
      </c>
    </row>
    <row r="105" ht="12.75">
      <c r="A105" t="str">
        <f>CONCATENATE("{'SheetId':'05a3e0c8-b8c2-4245-bdc5-cb015cdcc9dd'",",","'UId':'80f44ad0-e00f-47a4-b9b2-86fb3e6a73d5'",",'Col':",COLUMN(BCTaiSan_06116!F39),",'Row':",ROW(BCTaiSan_06116!F39),",","'ColDynamic':",COLUMN(BCTaiSan_06116!F38),",","'RowDynamic':",ROW(BCTaiSan_06116!F38),",","'Format':'numberic'",",'Value':'",SUBSTITUTE(BCTaiSan_06116!F39,"'","\'"),"','TargetCode':''}")</f>
        <v>{'SheetId':'05a3e0c8-b8c2-4245-bdc5-cb015cdcc9dd','UId':'80f44ad0-e00f-47a4-b9b2-86fb3e6a73d5','Col':6,'Row':39,'ColDynamic':6,'RowDynamic':38,'Format':'numberic','Value':'','TargetCode':''}</v>
      </c>
    </row>
    <row r="106" ht="12.75">
      <c r="A106" t="str">
        <f>CONCATENATE("{'SheetId':'05a3e0c8-b8c2-4245-bdc5-cb015cdcc9dd'",",","'UId':'3220ddeb-af87-4c9b-ac4d-39f268b0cff1'",",'Col':",COLUMN(BCTaiSan_06116!D40),",'Row':",ROW(BCTaiSan_06116!D40),",","'Format':'numberic'",",'Value':'",SUBSTITUTE(BCTaiSan_06116!D40,"'","\'"),"','TargetCode':''}")</f>
        <v>{'SheetId':'05a3e0c8-b8c2-4245-bdc5-cb015cdcc9dd','UId':'3220ddeb-af87-4c9b-ac4d-39f268b0cff1','Col':4,'Row':40,'Format':'numberic','Value':'1035658054','TargetCode':''}</v>
      </c>
    </row>
    <row r="107" ht="12.75">
      <c r="A107" t="str">
        <f>CONCATENATE("{'SheetId':'05a3e0c8-b8c2-4245-bdc5-cb015cdcc9dd'",",","'UId':'e00dd10f-f392-46fa-8783-e8d85476c880'",",'Col':",COLUMN(BCTaiSan_06116!E40),",'Row':",ROW(BCTaiSan_06116!E40),",","'Format':'numberic'",",'Value':'",SUBSTITUTE(BCTaiSan_06116!E40,"'","\'"),"','TargetCode':''}")</f>
        <v>{'SheetId':'05a3e0c8-b8c2-4245-bdc5-cb015cdcc9dd','UId':'e00dd10f-f392-46fa-8783-e8d85476c880','Col':5,'Row':40,'Format':'numberic','Value':'3479545208','TargetCode':''}</v>
      </c>
    </row>
    <row r="108" ht="12.75">
      <c r="A108" t="str">
        <f>CONCATENATE("{'SheetId':'05a3e0c8-b8c2-4245-bdc5-cb015cdcc9dd'",",","'UId':'1619a34a-c845-4d19-8d1d-80b199c2b9f0'",",'Col':",COLUMN(BCTaiSan_06116!F40),",'Row':",ROW(BCTaiSan_06116!F40),",","'Format':'numberic'",",'Value':'",SUBSTITUTE(BCTaiSan_06116!F40,"'","\'"),"','TargetCode':''}")</f>
        <v>{'SheetId':'05a3e0c8-b8c2-4245-bdc5-cb015cdcc9dd','UId':'1619a34a-c845-4d19-8d1d-80b199c2b9f0','Col':6,'Row':40,'Format':'numberic','Value':'6.12807852561062','TargetCode':''}</v>
      </c>
    </row>
    <row r="109" ht="12.75">
      <c r="A109" t="str">
        <f>CONCATENATE("{'SheetId':'05a3e0c8-b8c2-4245-bdc5-cb015cdcc9dd'",",","'UId':'cf4000a8-baad-411e-bd08-697d1ba1395c'",",'Col':",COLUMN(BCTaiSan_06116!D41),",'Row':",ROW(BCTaiSan_06116!D41),",","'Format':'numberic'",",'Value':'",SUBSTITUTE(BCTaiSan_06116!D41,"'","\'"),"','TargetCode':''}")</f>
        <v>{'SheetId':'05a3e0c8-b8c2-4245-bdc5-cb015cdcc9dd','UId':'cf4000a8-baad-411e-bd08-697d1ba1395c','Col':4,'Row':41,'Format':'numberic','Value':'44865699475','TargetCode':''}</v>
      </c>
    </row>
    <row r="110" ht="12.75">
      <c r="A110" t="str">
        <f>CONCATENATE("{'SheetId':'05a3e0c8-b8c2-4245-bdc5-cb015cdcc9dd'",",","'UId':'6b38f976-80c8-432e-af37-b96eab4ed09f'",",'Col':",COLUMN(BCTaiSan_06116!E41),",'Row':",ROW(BCTaiSan_06116!E41),",","'Format':'numberic'",",'Value':'",SUBSTITUTE(BCTaiSan_06116!E41,"'","\'"),"','TargetCode':''}")</f>
        <v>{'SheetId':'05a3e0c8-b8c2-4245-bdc5-cb015cdcc9dd','UId':'6b38f976-80c8-432e-af37-b96eab4ed09f','Col':5,'Row':41,'Format':'numberic','Value':'44888942671','TargetCode':''}</v>
      </c>
    </row>
    <row r="111" ht="12.75">
      <c r="A111" t="str">
        <f>CONCATENATE("{'SheetId':'05a3e0c8-b8c2-4245-bdc5-cb015cdcc9dd'",",","'UId':'d8814a0f-f26d-4a65-9ddb-0e339251dfc9'",",'Col':",COLUMN(BCTaiSan_06116!F41),",'Row':",ROW(BCTaiSan_06116!F41),",","'Format':'numberic'",",'Value':'",SUBSTITUTE(BCTaiSan_06116!F41,"'","\'"),"','TargetCode':''}")</f>
        <v>{'SheetId':'05a3e0c8-b8c2-4245-bdc5-cb015cdcc9dd','UId':'d8814a0f-f26d-4a65-9ddb-0e339251dfc9','Col':6,'Row':41,'Format':'numberic','Value':'0.874145269884569','TargetCode':''}</v>
      </c>
    </row>
    <row r="112" ht="12.75">
      <c r="A112" t="str">
        <f>CONCATENATE("{'SheetId':'05a3e0c8-b8c2-4245-bdc5-cb015cdcc9dd'",",","'UId':'33cf46c6-8ad8-4ce3-a49e-30957324675c'",",'Col':",COLUMN(BCTaiSan_06116!D42),",'Row':",ROW(BCTaiSan_06116!D42),",","'Format':'numberic'",",'Value':'",SUBSTITUTE(BCTaiSan_06116!D42,"'","\'"),"','TargetCode':''}")</f>
        <v>{'SheetId':'05a3e0c8-b8c2-4245-bdc5-cb015cdcc9dd','UId':'33cf46c6-8ad8-4ce3-a49e-30957324675c','Col':4,'Row':42,'Format':'numberic','Value':'5000000','TargetCode':''}</v>
      </c>
    </row>
    <row r="113" ht="12.75">
      <c r="A113" t="str">
        <f>CONCATENATE("{'SheetId':'05a3e0c8-b8c2-4245-bdc5-cb015cdcc9dd'",",","'UId':'3ea27bdb-7f78-4d3e-9222-49e35271260e'",",'Col':",COLUMN(BCTaiSan_06116!E42),",'Row':",ROW(BCTaiSan_06116!E42),",","'Format':'numberic'",",'Value':'",SUBSTITUTE(BCTaiSan_06116!E42,"'","\'"),"','TargetCode':''}")</f>
        <v>{'SheetId':'05a3e0c8-b8c2-4245-bdc5-cb015cdcc9dd','UId':'3ea27bdb-7f78-4d3e-9222-49e35271260e','Col':5,'Row':42,'Format':'numberic','Value':'5000000','TargetCode':''}</v>
      </c>
    </row>
    <row r="114" ht="12.75">
      <c r="A114" t="str">
        <f>CONCATENATE("{'SheetId':'05a3e0c8-b8c2-4245-bdc5-cb015cdcc9dd'",",","'UId':'55bdaaa2-5778-4c79-9ce5-5493894de048'",",'Col':",COLUMN(BCTaiSan_06116!F42),",'Row':",ROW(BCTaiSan_06116!F42),",","'Format':'numberic'",",'Value':'",SUBSTITUTE(BCTaiSan_06116!F42,"'","\'"),"','TargetCode':''}")</f>
        <v>{'SheetId':'05a3e0c8-b8c2-4245-bdc5-cb015cdcc9dd','UId':'55bdaaa2-5778-4c79-9ce5-5493894de048','Col':6,'Row':42,'Format':'numberic','Value':'1','TargetCode':''}</v>
      </c>
    </row>
    <row r="115" ht="12.75">
      <c r="A115" t="str">
        <f>CONCATENATE("{'SheetId':'05a3e0c8-b8c2-4245-bdc5-cb015cdcc9dd'",",","'UId':'44f478b6-6f78-44aa-b3da-945bd53e1945'",",'Col':",COLUMN(BCTaiSan_06116!D43),",'Row':",ROW(BCTaiSan_06116!D43),",","'Format':'numberic'",",'Value':'",SUBSTITUTE(BCTaiSan_06116!D43,"'","\'"),"','TargetCode':''}")</f>
        <v>{'SheetId':'05a3e0c8-b8c2-4245-bdc5-cb015cdcc9dd','UId':'44f478b6-6f78-44aa-b3da-945bd53e1945','Col':4,'Row':43,'Format':'numberic','Value':'8973.13','TargetCode':''}</v>
      </c>
    </row>
    <row r="116" ht="12.75">
      <c r="A116" t="str">
        <f>CONCATENATE("{'SheetId':'05a3e0c8-b8c2-4245-bdc5-cb015cdcc9dd'",",","'UId':'4533f2d1-e469-4f34-9817-38085602d768'",",'Col':",COLUMN(BCTaiSan_06116!E43),",'Row':",ROW(BCTaiSan_06116!E43),",","'Format':'numberic'",",'Value':'",SUBSTITUTE(BCTaiSan_06116!E43,"'","\'"),"','TargetCode':''}")</f>
        <v>{'SheetId':'05a3e0c8-b8c2-4245-bdc5-cb015cdcc9dd','UId':'4533f2d1-e469-4f34-9817-38085602d768','Col':5,'Row':43,'Format':'numberic','Value':'8977.78','TargetCode':''}</v>
      </c>
    </row>
    <row r="117" ht="12.75">
      <c r="A117" t="str">
        <f>CONCATENATE("{'SheetId':'05a3e0c8-b8c2-4245-bdc5-cb015cdcc9dd'",",","'UId':'bf779ace-625d-48aa-aa6b-032f68f6238b'",",'Col':",COLUMN(BCTaiSan_06116!F43),",'Row':",ROW(BCTaiSan_06116!F43),",","'Format':'numberic'",",'Value':'",SUBSTITUTE(BCTaiSan_06116!F43,"'","\'"),"','TargetCode':''}")</f>
        <v>{'SheetId':'05a3e0c8-b8c2-4245-bdc5-cb015cdcc9dd','UId':'bf779ace-625d-48aa-aa6b-032f68f6238b','Col':6,'Row':43,'Format':'numberic','Value':'0.874144669674935','TargetCode':''}</v>
      </c>
    </row>
    <row r="118" ht="12.75">
      <c r="A118" t="str">
        <f>CONCATENATE("{'SheetId':'9f0499bc-7fdf-466f-858e-64171f5a4e41'",",","'UId':'12f8b01e-2ca4-4c4d-9b66-ade2fd0da20f'",",'Col':",COLUMN(BCKetQuaHoatDong_06117!D2),",'Row':",ROW(BCKetQuaHoatDong_06117!D2),",","'Format':'numberic'",",'Value':'",SUBSTITUTE(BCKetQuaHoatDong_06117!D2,"'","\'"),"','TargetCode':''}")</f>
        <v>{'SheetId':'9f0499bc-7fdf-466f-858e-64171f5a4e41','UId':'12f8b01e-2ca4-4c4d-9b66-ade2fd0da20f','Col':4,'Row':2,'Format':'numberic','Value':'446034','TargetCode':''}</v>
      </c>
    </row>
    <row r="119" ht="12.75">
      <c r="A119" t="str">
        <f>CONCATENATE("{'SheetId':'9f0499bc-7fdf-466f-858e-64171f5a4e41'",",","'UId':'0ddceec3-e126-43c8-aaad-6c8a6a5b2691'",",'Col':",COLUMN(BCKetQuaHoatDong_06117!E2),",'Row':",ROW(BCKetQuaHoatDong_06117!E2),",","'Format':'numberic'",",'Value':'",SUBSTITUTE(BCKetQuaHoatDong_06117!E2,"'","\'"),"','TargetCode':''}")</f>
        <v>{'SheetId':'9f0499bc-7fdf-466f-858e-64171f5a4e41','UId':'0ddceec3-e126-43c8-aaad-6c8a6a5b2691','Col':5,'Row':2,'Format':'numberic','Value':'1160945','TargetCode':''}</v>
      </c>
    </row>
    <row r="120" ht="12.75">
      <c r="A120" t="str">
        <f>CONCATENATE("{'SheetId':'9f0499bc-7fdf-466f-858e-64171f5a4e41'",",","'UId':'5aa23758-7d58-4e38-ba88-8eba35749a0f'",",'Col':",COLUMN(BCKetQuaHoatDong_06117!F2),",'Row':",ROW(BCKetQuaHoatDong_06117!F2),",","'Format':'numberic'",",'Value':'",SUBSTITUTE(BCKetQuaHoatDong_06117!F2,"'","\'"),"','TargetCode':''}")</f>
        <v>{'SheetId':'9f0499bc-7fdf-466f-858e-64171f5a4e41','UId':'5aa23758-7d58-4e38-ba88-8eba35749a0f','Col':6,'Row':2,'Format':'numberic','Value':'134753557','TargetCode':''}</v>
      </c>
    </row>
    <row r="121" ht="12.75">
      <c r="A121" t="str">
        <f>CONCATENATE("{'SheetId':'9f0499bc-7fdf-466f-858e-64171f5a4e41'",",","'UId':'5c753b28-aeb4-4531-86e1-ad94548fa55f'",",'Col':",COLUMN(BCKetQuaHoatDong_06117!D3),",'Row':",ROW(BCKetQuaHoatDong_06117!D3),",","'Format':'numberic'",",'Value':'",SUBSTITUTE(BCKetQuaHoatDong_06117!D3,"'","\'"),"','TargetCode':''}")</f>
        <v>{'SheetId':'9f0499bc-7fdf-466f-858e-64171f5a4e41','UId':'5c753b28-aeb4-4531-86e1-ad94548fa55f','Col':4,'Row':3,'Format':'numberic','Value':'','TargetCode':''}</v>
      </c>
    </row>
    <row r="122" ht="12.75">
      <c r="A122" t="str">
        <f>CONCATENATE("{'SheetId':'9f0499bc-7fdf-466f-858e-64171f5a4e41'",",","'UId':'7325c5ec-f6c9-4e09-babc-59d0e943b83f'",",'Col':",COLUMN(BCKetQuaHoatDong_06117!E3),",'Row':",ROW(BCKetQuaHoatDong_06117!E3),",","'Format':'numberic'",",'Value':'",SUBSTITUTE(BCKetQuaHoatDong_06117!E3,"'","\'"),"','TargetCode':''}")</f>
        <v>{'SheetId':'9f0499bc-7fdf-466f-858e-64171f5a4e41','UId':'7325c5ec-f6c9-4e09-babc-59d0e943b83f','Col':5,'Row':3,'Format':'numberic','Value':'','TargetCode':''}</v>
      </c>
    </row>
    <row r="123" ht="12.75">
      <c r="A123" t="str">
        <f>CONCATENATE("{'SheetId':'9f0499bc-7fdf-466f-858e-64171f5a4e41'",",","'UId':'ddfd844d-874a-401a-9542-3b70c2b24e68'",",'Col':",COLUMN(BCKetQuaHoatDong_06117!F3),",'Row':",ROW(BCKetQuaHoatDong_06117!F3),",","'Format':'numberic'",",'Value':'",SUBSTITUTE(BCKetQuaHoatDong_06117!F3,"'","\'"),"','TargetCode':''}")</f>
        <v>{'SheetId':'9f0499bc-7fdf-466f-858e-64171f5a4e41','UId':'ddfd844d-874a-401a-9542-3b70c2b24e68','Col':6,'Row':3,'Format':'numberic','Value':'','TargetCode':''}</v>
      </c>
    </row>
    <row r="124" ht="12.75">
      <c r="A124" t="str">
        <f>CONCATENATE("{'SheetId':'9f0499bc-7fdf-466f-858e-64171f5a4e41'",",","'UId':'86355dcd-b150-4ddc-8f7d-bea7f2272295'",",'Col':",COLUMN(BCKetQuaHoatDong_06117!D4),",'Row':",ROW(BCKetQuaHoatDong_06117!D4),",","'Format':'numberic'",",'Value':'",SUBSTITUTE(BCKetQuaHoatDong_06117!D4,"'","\'"),"','TargetCode':''}")</f>
        <v>{'SheetId':'9f0499bc-7fdf-466f-858e-64171f5a4e41','UId':'86355dcd-b150-4ddc-8f7d-bea7f2272295','Col':4,'Row':4,'Format':'numberic','Value':'','TargetCode':''}</v>
      </c>
    </row>
    <row r="125" ht="12.75">
      <c r="A125" t="str">
        <f>CONCATENATE("{'SheetId':'9f0499bc-7fdf-466f-858e-64171f5a4e41'",",","'UId':'9402e700-a6c6-4730-9a87-830c7b8295aa'",",'Col':",COLUMN(BCKetQuaHoatDong_06117!E4),",'Row':",ROW(BCKetQuaHoatDong_06117!E4),",","'Format':'numberic'",",'Value':'",SUBSTITUTE(BCKetQuaHoatDong_06117!E4,"'","\'"),"','TargetCode':''}")</f>
        <v>{'SheetId':'9f0499bc-7fdf-466f-858e-64171f5a4e41','UId':'9402e700-a6c6-4730-9a87-830c7b8295aa','Col':5,'Row':4,'Format':'numberic','Value':'','TargetCode':''}</v>
      </c>
    </row>
    <row r="126" ht="12.75">
      <c r="A126" t="str">
        <f>CONCATENATE("{'SheetId':'9f0499bc-7fdf-466f-858e-64171f5a4e41'",",","'UId':'6c0ddf28-f5f4-40be-a529-03da538618da'",",'Col':",COLUMN(BCKetQuaHoatDong_06117!F4),",'Row':",ROW(BCKetQuaHoatDong_06117!F4),",","'Format':'numberic'",",'Value':'",SUBSTITUTE(BCKetQuaHoatDong_06117!F4,"'","\'"),"','TargetCode':''}")</f>
        <v>{'SheetId':'9f0499bc-7fdf-466f-858e-64171f5a4e41','UId':'6c0ddf28-f5f4-40be-a529-03da538618da','Col':6,'Row':4,'Format':'numberic','Value':'129310860','TargetCode':''}</v>
      </c>
    </row>
    <row r="127" ht="12.75">
      <c r="A127" t="str">
        <f>CONCATENATE("{'SheetId':'9f0499bc-7fdf-466f-858e-64171f5a4e41'",",","'UId':'9ace967b-a742-459d-9b0e-2533c2eee182'",",'Col':",COLUMN(BCKetQuaHoatDong_06117!D5),",'Row':",ROW(BCKetQuaHoatDong_06117!D5),",","'Format':'numberic'",",'Value':'",SUBSTITUTE(BCKetQuaHoatDong_06117!D5,"'","\'"),"','TargetCode':''}")</f>
        <v>{'SheetId':'9f0499bc-7fdf-466f-858e-64171f5a4e41','UId':'9ace967b-a742-459d-9b0e-2533c2eee182','Col':4,'Row':5,'Format':'numberic','Value':'446034','TargetCode':''}</v>
      </c>
    </row>
    <row r="128" ht="12.75">
      <c r="A128" t="str">
        <f>CONCATENATE("{'SheetId':'9f0499bc-7fdf-466f-858e-64171f5a4e41'",",","'UId':'7709727e-ded2-4883-b3c2-f1f7a41a6b13'",",'Col':",COLUMN(BCKetQuaHoatDong_06117!E5),",'Row':",ROW(BCKetQuaHoatDong_06117!E5),",","'Format':'numberic'",",'Value':'",SUBSTITUTE(BCKetQuaHoatDong_06117!E5,"'","\'"),"','TargetCode':''}")</f>
        <v>{'SheetId':'9f0499bc-7fdf-466f-858e-64171f5a4e41','UId':'7709727e-ded2-4883-b3c2-f1f7a41a6b13','Col':5,'Row':5,'Format':'numberic','Value':'1160945','TargetCode':''}</v>
      </c>
    </row>
    <row r="129" ht="12.75">
      <c r="A129" t="str">
        <f>CONCATENATE("{'SheetId':'9f0499bc-7fdf-466f-858e-64171f5a4e41'",",","'UId':'79b24302-7bd9-4283-880a-1cf8d24bcfe1'",",'Col':",COLUMN(BCKetQuaHoatDong_06117!F5),",'Row':",ROW(BCKetQuaHoatDong_06117!F5),",","'Format':'numberic'",",'Value':'",SUBSTITUTE(BCKetQuaHoatDong_06117!F5,"'","\'"),"','TargetCode':''}")</f>
        <v>{'SheetId':'9f0499bc-7fdf-466f-858e-64171f5a4e41','UId':'79b24302-7bd9-4283-880a-1cf8d24bcfe1','Col':6,'Row':5,'Format':'numberic','Value':'5442697','TargetCode':''}</v>
      </c>
    </row>
    <row r="130" ht="12.75">
      <c r="A130" t="str">
        <f>CONCATENATE("{'SheetId':'9f0499bc-7fdf-466f-858e-64171f5a4e41'",",","'UId':'0f74d5de-a534-43e2-9313-f9a705dab17b'",",'Col':",COLUMN(BCKetQuaHoatDong_06117!D6),",'Row':",ROW(BCKetQuaHoatDong_06117!D6),",","'Format':'numberic'",",'Value':'",SUBSTITUTE(BCKetQuaHoatDong_06117!D6,"'","\'"),"','TargetCode':''}")</f>
        <v>{'SheetId':'9f0499bc-7fdf-466f-858e-64171f5a4e41','UId':'0f74d5de-a534-43e2-9313-f9a705dab17b','Col':4,'Row':6,'Format':'numberic','Value':'','TargetCode':''}</v>
      </c>
    </row>
    <row r="131" ht="12.75">
      <c r="A131" t="str">
        <f>CONCATENATE("{'SheetId':'9f0499bc-7fdf-466f-858e-64171f5a4e41'",",","'UId':'3f7d1c77-1c8c-4eb4-a380-ae9bb2c03e3e'",",'Col':",COLUMN(BCKetQuaHoatDong_06117!E6),",'Row':",ROW(BCKetQuaHoatDong_06117!E6),",","'Format':'numberic'",",'Value':'",SUBSTITUTE(BCKetQuaHoatDong_06117!E6,"'","\'"),"','TargetCode':''}")</f>
        <v>{'SheetId':'9f0499bc-7fdf-466f-858e-64171f5a4e41','UId':'3f7d1c77-1c8c-4eb4-a380-ae9bb2c03e3e','Col':5,'Row':6,'Format':'numberic','Value':'','TargetCode':''}</v>
      </c>
    </row>
    <row r="132" ht="12.75">
      <c r="A132" t="str">
        <f>CONCATENATE("{'SheetId':'9f0499bc-7fdf-466f-858e-64171f5a4e41'",",","'UId':'49d04f59-02d1-44d6-bd75-9999a150809d'",",'Col':",COLUMN(BCKetQuaHoatDong_06117!F6),",'Row':",ROW(BCKetQuaHoatDong_06117!F6),",","'Format':'numberic'",",'Value':'",SUBSTITUTE(BCKetQuaHoatDong_06117!F6,"'","\'"),"','TargetCode':''}")</f>
        <v>{'SheetId':'9f0499bc-7fdf-466f-858e-64171f5a4e41','UId':'49d04f59-02d1-44d6-bd75-9999a150809d','Col':6,'Row':6,'Format':'numberic','Value':'','TargetCode':''}</v>
      </c>
    </row>
    <row r="133" ht="12.75">
      <c r="A133" t="str">
        <f>CONCATENATE("{'SheetId':'9f0499bc-7fdf-466f-858e-64171f5a4e41'",",","'UId':'a33a72c7-2713-4873-8b86-d827af87f615'",",'Col':",COLUMN(BCKetQuaHoatDong_06117!D7),",'Row':",ROW(BCKetQuaHoatDong_06117!D7),",","'Format':'numberic'",",'Value':'",SUBSTITUTE(BCKetQuaHoatDong_06117!D7,"'","\'"),"','TargetCode':''}")</f>
        <v>{'SheetId':'9f0499bc-7fdf-466f-858e-64171f5a4e41','UId':'a33a72c7-2713-4873-8b86-d827af87f615','Col':4,'Row':7,'Format':'numberic','Value':'136614230','TargetCode':''}</v>
      </c>
    </row>
    <row r="134" ht="12.75">
      <c r="A134" t="str">
        <f>CONCATENATE("{'SheetId':'9f0499bc-7fdf-466f-858e-64171f5a4e41'",",","'UId':'598da6e9-a46e-420a-9898-09cbad9bf1a4'",",'Col':",COLUMN(BCKetQuaHoatDong_06117!E7),",'Row':",ROW(BCKetQuaHoatDong_06117!E7),",","'Format':'numberic'",",'Value':'",SUBSTITUTE(BCKetQuaHoatDong_06117!E7,"'","\'"),"','TargetCode':''}")</f>
        <v>{'SheetId':'9f0499bc-7fdf-466f-858e-64171f5a4e41','UId':'598da6e9-a46e-420a-9898-09cbad9bf1a4','Col':5,'Row':7,'Format':'numberic','Value':'196337291','TargetCode':''}</v>
      </c>
    </row>
    <row r="135" ht="12.75">
      <c r="A135" t="str">
        <f>CONCATENATE("{'SheetId':'9f0499bc-7fdf-466f-858e-64171f5a4e41'",",","'UId':'da8bcbe5-744f-46f0-8514-2774403ba8ce'",",'Col':",COLUMN(BCKetQuaHoatDong_06117!F7),",'Row':",ROW(BCKetQuaHoatDong_06117!F7),",","'Format':'numberic'",",'Value':'",SUBSTITUTE(BCKetQuaHoatDong_06117!F7,"'","\'"),"','TargetCode':''}")</f>
        <v>{'SheetId':'9f0499bc-7fdf-466f-858e-64171f5a4e41','UId':'da8bcbe5-744f-46f0-8514-2774403ba8ce','Col':6,'Row':7,'Format':'numberic','Value':'1065006017','TargetCode':''}</v>
      </c>
    </row>
    <row r="136" ht="12.75">
      <c r="A136" t="str">
        <f>CONCATENATE("{'SheetId':'9f0499bc-7fdf-466f-858e-64171f5a4e41'",",","'UId':'a3f7d517-3d33-47c2-b24d-c57ab35d3091'",",'Col':",COLUMN(BCKetQuaHoatDong_06117!D8),",'Row':",ROW(BCKetQuaHoatDong_06117!D8),",","'Format':'numberic'",",'Value':'",SUBSTITUTE(BCKetQuaHoatDong_06117!D8,"'","\'"),"','TargetCode':''}")</f>
        <v>{'SheetId':'9f0499bc-7fdf-466f-858e-64171f5a4e41','UId':'a3f7d517-3d33-47c2-b24d-c57ab35d3091','Col':4,'Row':8,'Format':'numberic','Value':'57906913','TargetCode':''}</v>
      </c>
    </row>
    <row r="137" ht="12.75">
      <c r="A137" t="str">
        <f>CONCATENATE("{'SheetId':'9f0499bc-7fdf-466f-858e-64171f5a4e41'",",","'UId':'4f55db7e-1c04-4709-a1d2-bbbb29f72561'",",'Col':",COLUMN(BCKetQuaHoatDong_06117!E8),",'Row':",ROW(BCKetQuaHoatDong_06117!E8),",","'Format':'numberic'",",'Value':'",SUBSTITUTE(BCKetQuaHoatDong_06117!E8,"'","\'"),"','TargetCode':''}")</f>
        <v>{'SheetId':'9f0499bc-7fdf-466f-858e-64171f5a4e41','UId':'4f55db7e-1c04-4709-a1d2-bbbb29f72561','Col':5,'Row':8,'Format':'numberic','Value':'56232376','TargetCode':''}</v>
      </c>
    </row>
    <row r="138" ht="12.75">
      <c r="A138" t="str">
        <f>CONCATENATE("{'SheetId':'9f0499bc-7fdf-466f-858e-64171f5a4e41'",",","'UId':'6f2a3ba9-dbc2-4817-8f88-d5d66d4d9003'",",'Col':",COLUMN(BCKetQuaHoatDong_06117!F8),",'Row':",ROW(BCKetQuaHoatDong_06117!F8),",","'Format':'numberic'",",'Value':'",SUBSTITUTE(BCKetQuaHoatDong_06117!F8,"'","\'"),"','TargetCode':''}")</f>
        <v>{'SheetId':'9f0499bc-7fdf-466f-858e-64171f5a4e41','UId':'6f2a3ba9-dbc2-4817-8f88-d5d66d4d9003','Col':6,'Row':8,'Format':'numberic','Value':'408766569','TargetCode':''}</v>
      </c>
    </row>
    <row r="139" ht="12.75">
      <c r="A139" t="str">
        <f>CONCATENATE("{'SheetId':'9f0499bc-7fdf-466f-858e-64171f5a4e41'",",","'UId':'6ba698f0-9bbf-4e84-b7a0-955599af3c15'",",'Col':",COLUMN(BCKetQuaHoatDong_06117!D9),",'Row':",ROW(BCKetQuaHoatDong_06117!D9),",","'Format':'numberic'",",'Value':'",SUBSTITUTE(BCKetQuaHoatDong_06117!D9,"'","\'"),"','TargetCode':''}")</f>
        <v>{'SheetId':'9f0499bc-7fdf-466f-858e-64171f5a4e41','UId':'6ba698f0-9bbf-4e84-b7a0-955599af3c15','Col':4,'Row':9,'Format':'numberic','Value':'10765898','TargetCode':''}</v>
      </c>
    </row>
    <row r="140" ht="12.75">
      <c r="A140" t="str">
        <f>CONCATENATE("{'SheetId':'9f0499bc-7fdf-466f-858e-64171f5a4e41'",",","'UId':'444f440b-c894-49e3-92fd-668e8a858ff6'",",'Col':",COLUMN(BCKetQuaHoatDong_06117!E9),",'Row':",ROW(BCKetQuaHoatDong_06117!E9),",","'Format':'numberic'",",'Value':'",SUBSTITUTE(BCKetQuaHoatDong_06117!E9,"'","\'"),"','TargetCode':''}")</f>
        <v>{'SheetId':'9f0499bc-7fdf-466f-858e-64171f5a4e41','UId':'444f440b-c894-49e3-92fd-668e8a858ff6','Col':5,'Row':9,'Format':'numberic','Value':'10834173','TargetCode':''}</v>
      </c>
    </row>
    <row r="141" ht="12.75">
      <c r="A141" t="str">
        <f>CONCATENATE("{'SheetId':'9f0499bc-7fdf-466f-858e-64171f5a4e41'",",","'UId':'cab92e31-c53b-4b9c-8318-708f60ccc15e'",",'Col':",COLUMN(BCKetQuaHoatDong_06117!F9),",'Row':",ROW(BCKetQuaHoatDong_06117!F9),",","'Format':'numberic'",",'Value':'",SUBSTITUTE(BCKetQuaHoatDong_06117!F9,"'","\'"),"','TargetCode':''}")</f>
        <v>{'SheetId':'9f0499bc-7fdf-466f-858e-64171f5a4e41','UId':'cab92e31-c53b-4b9c-8318-708f60ccc15e','Col':6,'Row':9,'Format':'numberic','Value':'76044468','TargetCode':''}</v>
      </c>
    </row>
    <row r="142" ht="12.75">
      <c r="A142" t="str">
        <f>CONCATENATE("{'SheetId':'9f0499bc-7fdf-466f-858e-64171f5a4e41'",",","'UId':'0c38ff68-a671-43ea-9c10-9353daf8eaff'",",'Col':",COLUMN(BCKetQuaHoatDong_06117!D10),",'Row':",ROW(BCKetQuaHoatDong_06117!D10),",","'Format':'numberic'",",'Value':'",SUBSTITUTE(BCKetQuaHoatDong_06117!D10,"'","\'"),"','TargetCode':''}")</f>
        <v>{'SheetId':'9f0499bc-7fdf-466f-858e-64171f5a4e41','UId':'0c38ff68-a671-43ea-9c10-9353daf8eaff','Col':4,'Row':10,'Format':'numberic','Value':'16500000','TargetCode':''}</v>
      </c>
    </row>
    <row r="143" ht="12.75">
      <c r="A143" t="str">
        <f>CONCATENATE("{'SheetId':'9f0499bc-7fdf-466f-858e-64171f5a4e41'",",","'UId':'89b53785-3a1e-4089-8dc8-968c7408f57d'",",'Col':",COLUMN(BCKetQuaHoatDong_06117!E10),",'Row':",ROW(BCKetQuaHoatDong_06117!E10),",","'Format':'numberic'",",'Value':'",SUBSTITUTE(BCKetQuaHoatDong_06117!E10,"'","\'"),"','TargetCode':''}")</f>
        <v>{'SheetId':'9f0499bc-7fdf-466f-858e-64171f5a4e41','UId':'89b53785-3a1e-4089-8dc8-968c7408f57d','Col':5,'Row':10,'Format':'numberic','Value':'16500000','TargetCode':''}</v>
      </c>
    </row>
    <row r="144" ht="12.75">
      <c r="A144" t="str">
        <f>CONCATENATE("{'SheetId':'9f0499bc-7fdf-466f-858e-64171f5a4e41'",",","'UId':'01061364-95ed-46e6-a3e9-99d83f499a82'",",'Col':",COLUMN(BCKetQuaHoatDong_06117!F10),",'Row':",ROW(BCKetQuaHoatDong_06117!F10),",","'Format':'numberic'",",'Value':'",SUBSTITUTE(BCKetQuaHoatDong_06117!F10,"'","\'"),"','TargetCode':''}")</f>
        <v>{'SheetId':'9f0499bc-7fdf-466f-858e-64171f5a4e41','UId':'01061364-95ed-46e6-a3e9-99d83f499a82','Col':6,'Row':10,'Format':'numberic','Value':'115500000','TargetCode':''}</v>
      </c>
    </row>
    <row r="145" ht="12.75">
      <c r="A145" t="str">
        <f>CONCATENATE("{'SheetId':'9f0499bc-7fdf-466f-858e-64171f5a4e41'",",","'UId':'4e338ec2-9fd1-4cc8-a0ed-af98c139b927'",",'Col':",COLUMN(BCKetQuaHoatDong_06117!D11),",'Row':",ROW(BCKetQuaHoatDong_06117!D11),",","'Format':'numberic'",",'Value':'",SUBSTITUTE(BCKetQuaHoatDong_06117!D11,"'","\'"),"','TargetCode':''}")</f>
        <v>{'SheetId':'9f0499bc-7fdf-466f-858e-64171f5a4e41','UId':'4e338ec2-9fd1-4cc8-a0ed-af98c139b927','Col':4,'Row':11,'Format':'numberic','Value':'','TargetCode':''}</v>
      </c>
    </row>
    <row r="146" ht="12.75">
      <c r="A146" t="str">
        <f>CONCATENATE("{'SheetId':'9f0499bc-7fdf-466f-858e-64171f5a4e41'",",","'UId':'77f87a4d-5b3e-4cf4-ac7f-594fef7a3b7b'",",'Col':",COLUMN(BCKetQuaHoatDong_06117!E11),",'Row':",ROW(BCKetQuaHoatDong_06117!E11),",","'Format':'numberic'",",'Value':'",SUBSTITUTE(BCKetQuaHoatDong_06117!E11,"'","\'"),"','TargetCode':''}")</f>
        <v>{'SheetId':'9f0499bc-7fdf-466f-858e-64171f5a4e41','UId':'77f87a4d-5b3e-4cf4-ac7f-594fef7a3b7b','Col':5,'Row':11,'Format':'numberic','Value':'','TargetCode':''}</v>
      </c>
    </row>
    <row r="147" ht="12.75">
      <c r="A147" t="str">
        <f>CONCATENATE("{'SheetId':'9f0499bc-7fdf-466f-858e-64171f5a4e41'",",","'UId':'8b6613a6-16df-4cc9-9729-db9bbc3f66b7'",",'Col':",COLUMN(BCKetQuaHoatDong_06117!F11),",'Row':",ROW(BCKetQuaHoatDong_06117!F11),",","'Format':'numberic'",",'Value':'",SUBSTITUTE(BCKetQuaHoatDong_06117!F11,"'","\'"),"','TargetCode':''}")</f>
        <v>{'SheetId':'9f0499bc-7fdf-466f-858e-64171f5a4e41','UId':'8b6613a6-16df-4cc9-9729-db9bbc3f66b7','Col':6,'Row':11,'Format':'numberic','Value':'','TargetCode':''}</v>
      </c>
    </row>
    <row r="148" ht="12.75">
      <c r="A148" t="str">
        <f>CONCATENATE("{'SheetId':'9f0499bc-7fdf-466f-858e-64171f5a4e41'",",","'UId':'b5740c64-f879-4fba-9056-0195310aa532'",",'Col':",COLUMN(BCKetQuaHoatDong_06117!D12),",'Row':",ROW(BCKetQuaHoatDong_06117!D12),",","'Format':'numberic'",",'Value':'",SUBSTITUTE(BCKetQuaHoatDong_06117!D12,"'","\'"),"','TargetCode':''}")</f>
        <v>{'SheetId':'9f0499bc-7fdf-466f-858e-64171f5a4e41','UId':'b5740c64-f879-4fba-9056-0195310aa532','Col':4,'Row':12,'Format':'numberic','Value':'','TargetCode':''}</v>
      </c>
    </row>
    <row r="149" ht="12.75">
      <c r="A149" t="str">
        <f>CONCATENATE("{'SheetId':'9f0499bc-7fdf-466f-858e-64171f5a4e41'",",","'UId':'06832a77-c523-402c-97b0-ba579f1d2377'",",'Col':",COLUMN(BCKetQuaHoatDong_06117!E12),",'Row':",ROW(BCKetQuaHoatDong_06117!E12),",","'Format':'numberic'",",'Value':'",SUBSTITUTE(BCKetQuaHoatDong_06117!E12,"'","\'"),"','TargetCode':''}")</f>
        <v>{'SheetId':'9f0499bc-7fdf-466f-858e-64171f5a4e41','UId':'06832a77-c523-402c-97b0-ba579f1d2377','Col':5,'Row':12,'Format':'numberic','Value':'','TargetCode':''}</v>
      </c>
    </row>
    <row r="150" ht="12.75">
      <c r="A150" t="str">
        <f>CONCATENATE("{'SheetId':'9f0499bc-7fdf-466f-858e-64171f5a4e41'",",","'UId':'eb986764-5b65-4041-aa62-663baa29d238'",",'Col':",COLUMN(BCKetQuaHoatDong_06117!F12),",'Row':",ROW(BCKetQuaHoatDong_06117!F12),",","'Format':'numberic'",",'Value':'",SUBSTITUTE(BCKetQuaHoatDong_06117!F12,"'","\'"),"','TargetCode':''}")</f>
        <v>{'SheetId':'9f0499bc-7fdf-466f-858e-64171f5a4e41','UId':'eb986764-5b65-4041-aa62-663baa29d238','Col':6,'Row':12,'Format':'numberic','Value':'','TargetCode':''}</v>
      </c>
    </row>
    <row r="151" ht="12.75">
      <c r="A151" t="str">
        <f>CONCATENATE("{'SheetId':'9f0499bc-7fdf-466f-858e-64171f5a4e41'",",","'UId':'ac5a94f4-0b09-4c26-bd41-cb98cc31c478'",",'Col':",COLUMN(BCKetQuaHoatDong_06117!D13),",'Row':",ROW(BCKetQuaHoatDong_06117!D13),",","'Format':'numberic'",",'Value':'",SUBSTITUTE(BCKetQuaHoatDong_06117!D13,"'","\'"),"','TargetCode':''}")</f>
        <v>{'SheetId':'9f0499bc-7fdf-466f-858e-64171f5a4e41','UId':'ac5a94f4-0b09-4c26-bd41-cb98cc31c478','Col':4,'Row':13,'Format':'numberic','Value':'9423163','TargetCode':''}</v>
      </c>
    </row>
    <row r="152" ht="12.75">
      <c r="A152" t="str">
        <f>CONCATENATE("{'SheetId':'9f0499bc-7fdf-466f-858e-64171f5a4e41'",",","'UId':'3ae549d5-f71f-4577-b898-859e6d54e7d2'",",'Col':",COLUMN(BCKetQuaHoatDong_06117!E13),",'Row':",ROW(BCKetQuaHoatDong_06117!E13),",","'Format':'numberic'",",'Value':'",SUBSTITUTE(BCKetQuaHoatDong_06117!E13,"'","\'"),"','TargetCode':''}")</f>
        <v>{'SheetId':'9f0499bc-7fdf-466f-858e-64171f5a4e41','UId':'3ae549d5-f71f-4577-b898-859e6d54e7d2','Col':5,'Row':13,'Format':'numberic','Value':'55931040','TargetCode':''}</v>
      </c>
    </row>
    <row r="153" ht="12.75">
      <c r="A153" t="str">
        <f>CONCATENATE("{'SheetId':'9f0499bc-7fdf-466f-858e-64171f5a4e41'",",","'UId':'59e18741-6935-484e-8cd1-58a63386021b'",",'Col':",COLUMN(BCKetQuaHoatDong_06117!F13),",'Row':",ROW(BCKetQuaHoatDong_06117!F13),",","'Format':'numberic'",",'Value':'",SUBSTITUTE(BCKetQuaHoatDong_06117!F13,"'","\'"),"','TargetCode':''}")</f>
        <v>{'SheetId':'9f0499bc-7fdf-466f-858e-64171f5a4e41','UId':'59e18741-6935-484e-8cd1-58a63386021b','Col':6,'Row':13,'Format':'numberic','Value':'65354203','TargetCode':''}</v>
      </c>
    </row>
    <row r="154" ht="12.75">
      <c r="A154" t="str">
        <f>CONCATENATE("{'SheetId':'9f0499bc-7fdf-466f-858e-64171f5a4e41'",",","'UId':'9c33817c-a3bd-460f-914a-3939323ab822'",",'Col':",COLUMN(BCKetQuaHoatDong_06117!D14),",'Row':",ROW(BCKetQuaHoatDong_06117!D14),",","'Format':'numberic'",",'Value':'",SUBSTITUTE(BCKetQuaHoatDong_06117!D14,"'","\'"),"','TargetCode':''}")</f>
        <v>{'SheetId':'9f0499bc-7fdf-466f-858e-64171f5a4e41','UId':'9c33817c-a3bd-460f-914a-3939323ab822','Col':4,'Row':14,'Format':'numberic','Value':'15000000','TargetCode':''}</v>
      </c>
    </row>
    <row r="155" ht="12.75">
      <c r="A155" t="str">
        <f>CONCATENATE("{'SheetId':'9f0499bc-7fdf-466f-858e-64171f5a4e41'",",","'UId':'8622c631-09c2-4615-a7cc-8de64f61219e'",",'Col':",COLUMN(BCKetQuaHoatDong_06117!E14),",'Row':",ROW(BCKetQuaHoatDong_06117!E14),",","'Format':'numberic'",",'Value':'",SUBSTITUTE(BCKetQuaHoatDong_06117!E14,"'","\'"),"','TargetCode':''}")</f>
        <v>{'SheetId':'9f0499bc-7fdf-466f-858e-64171f5a4e41','UId':'8622c631-09c2-4615-a7cc-8de64f61219e','Col':5,'Row':14,'Format':'numberic','Value':'15000000','TargetCode':''}</v>
      </c>
    </row>
    <row r="156" ht="12.75">
      <c r="A156" t="str">
        <f>CONCATENATE("{'SheetId':'9f0499bc-7fdf-466f-858e-64171f5a4e41'",",","'UId':'76cbcff8-05fe-47ee-a7aa-126c2d06a351'",",'Col':",COLUMN(BCKetQuaHoatDong_06117!F14),",'Row':",ROW(BCKetQuaHoatDong_06117!F14),",","'Format':'numberic'",",'Value':'",SUBSTITUTE(BCKetQuaHoatDong_06117!F14,"'","\'"),"','TargetCode':''}")</f>
        <v>{'SheetId':'9f0499bc-7fdf-466f-858e-64171f5a4e41','UId':'76cbcff8-05fe-47ee-a7aa-126c2d06a351','Col':6,'Row':14,'Format':'numberic','Value':'105000000','TargetCode':''}</v>
      </c>
    </row>
    <row r="157" ht="12.75">
      <c r="A157" t="str">
        <f>CONCATENATE("{'SheetId':'9f0499bc-7fdf-466f-858e-64171f5a4e41'",",","'UId':'edcc60a0-1356-482c-a62a-127c70d92d3d'",",'Col':",COLUMN(BCKetQuaHoatDong_06117!D15),",'Row':",ROW(BCKetQuaHoatDong_06117!D15),",","'Format':'numberic'",",'Value':'",SUBSTITUTE(BCKetQuaHoatDong_06117!D15,"'","\'"),"','TargetCode':''}")</f>
        <v>{'SheetId':'9f0499bc-7fdf-466f-858e-64171f5a4e41','UId':'edcc60a0-1356-482c-a62a-127c70d92d3d','Col':4,'Row':15,'Format':'numberic','Value':'','TargetCode':''}</v>
      </c>
    </row>
    <row r="158" ht="12.75">
      <c r="A158" t="str">
        <f>CONCATENATE("{'SheetId':'9f0499bc-7fdf-466f-858e-64171f5a4e41'",",","'UId':'1b5e4be1-38a7-4261-9c20-b17848586145'",",'Col':",COLUMN(BCKetQuaHoatDong_06117!E15),",'Row':",ROW(BCKetQuaHoatDong_06117!E15),",","'Format':'numberic'",",'Value':'",SUBSTITUTE(BCKetQuaHoatDong_06117!E15,"'","\'"),"','TargetCode':''}")</f>
        <v>{'SheetId':'9f0499bc-7fdf-466f-858e-64171f5a4e41','UId':'1b5e4be1-38a7-4261-9c20-b17848586145','Col':5,'Row':15,'Format':'numberic','Value':'','TargetCode':''}</v>
      </c>
    </row>
    <row r="159" ht="12.75">
      <c r="A159" t="str">
        <f>CONCATENATE("{'SheetId':'9f0499bc-7fdf-466f-858e-64171f5a4e41'",",","'UId':'126abb5f-69eb-4895-96fa-71d3beb7e42f'",",'Col':",COLUMN(BCKetQuaHoatDong_06117!F15),",'Row':",ROW(BCKetQuaHoatDong_06117!F15),",","'Format':'numberic'",",'Value':'",SUBSTITUTE(BCKetQuaHoatDong_06117!F15,"'","\'"),"','TargetCode':''}")</f>
        <v>{'SheetId':'9f0499bc-7fdf-466f-858e-64171f5a4e41','UId':'126abb5f-69eb-4895-96fa-71d3beb7e42f','Col':6,'Row':15,'Format':'numberic','Value':'','TargetCode':''}</v>
      </c>
    </row>
    <row r="160" ht="12.75">
      <c r="A160" t="str">
        <f>CONCATENATE("{'SheetId':'9f0499bc-7fdf-466f-858e-64171f5a4e41'",",","'UId':'5794efd1-9a5c-4959-a795-db4bba215646'",",'Col':",COLUMN(BCKetQuaHoatDong_06117!D16),",'Row':",ROW(BCKetQuaHoatDong_06117!D16),",","'Format':'numberic'",",'Value':'",SUBSTITUTE(BCKetQuaHoatDong_06117!D16,"'","\'"),"','TargetCode':''}")</f>
        <v>{'SheetId':'9f0499bc-7fdf-466f-858e-64171f5a4e41','UId':'5794efd1-9a5c-4959-a795-db4bba215646','Col':4,'Row':16,'Format':'numberic','Value':'26966285','TargetCode':''}</v>
      </c>
    </row>
    <row r="161" ht="12.75">
      <c r="A161" t="str">
        <f>CONCATENATE("{'SheetId':'9f0499bc-7fdf-466f-858e-64171f5a4e41'",",","'UId':'bf2e53ba-fefe-4687-9396-4184dff837fd'",",'Col':",COLUMN(BCKetQuaHoatDong_06117!E16),",'Row':",ROW(BCKetQuaHoatDong_06117!E16),",","'Format':'numberic'",",'Value':'",SUBSTITUTE(BCKetQuaHoatDong_06117!E16,"'","\'"),"','TargetCode':''}")</f>
        <v>{'SheetId':'9f0499bc-7fdf-466f-858e-64171f5a4e41','UId':'bf2e53ba-fefe-4687-9396-4184dff837fd','Col':5,'Row':16,'Format':'numberic','Value':'41826698','TargetCode':''}</v>
      </c>
    </row>
    <row r="162" ht="12.75">
      <c r="A162" t="str">
        <f>CONCATENATE("{'SheetId':'9f0499bc-7fdf-466f-858e-64171f5a4e41'",",","'UId':'7eb74c70-e2b7-48b5-a581-95fc57b7b500'",",'Col':",COLUMN(BCKetQuaHoatDong_06117!F16),",'Row':",ROW(BCKetQuaHoatDong_06117!F16),",","'Format':'numberic'",",'Value':'",SUBSTITUTE(BCKetQuaHoatDong_06117!F16,"'","\'"),"','TargetCode':''}")</f>
        <v>{'SheetId':'9f0499bc-7fdf-466f-858e-64171f5a4e41','UId':'7eb74c70-e2b7-48b5-a581-95fc57b7b500','Col':6,'Row':16,'Format':'numberic','Value':'278153702','TargetCode':''}</v>
      </c>
    </row>
    <row r="163" ht="12.75">
      <c r="A163" t="str">
        <f>CONCATENATE("{'SheetId':'9f0499bc-7fdf-466f-858e-64171f5a4e41'",",","'UId':'34d2c2ab-6b55-4c07-84f2-c8bed7b6ae78'",",'Col':",COLUMN(BCKetQuaHoatDong_06117!D17),",'Row':",ROW(BCKetQuaHoatDong_06117!D17),",","'Format':'numberic'",",'Value':'",SUBSTITUTE(BCKetQuaHoatDong_06117!D17,"'","\'"),"','TargetCode':''}")</f>
        <v>{'SheetId':'9f0499bc-7fdf-466f-858e-64171f5a4e41','UId':'34d2c2ab-6b55-4c07-84f2-c8bed7b6ae78','Col':4,'Row':17,'Format':'numberic','Value':'51971','TargetCode':''}</v>
      </c>
    </row>
    <row r="164" ht="12.75">
      <c r="A164" t="str">
        <f>CONCATENATE("{'SheetId':'9f0499bc-7fdf-466f-858e-64171f5a4e41'",",","'UId':'89b2b043-2df9-4f13-9e78-543369e737a1'",",'Col':",COLUMN(BCKetQuaHoatDong_06117!E17),",'Row':",ROW(BCKetQuaHoatDong_06117!E17),",","'Format':'numberic'",",'Value':'",SUBSTITUTE(BCKetQuaHoatDong_06117!E17,"'","\'"),"','TargetCode':''}")</f>
        <v>{'SheetId':'9f0499bc-7fdf-466f-858e-64171f5a4e41','UId':'89b2b043-2df9-4f13-9e78-543369e737a1','Col':5,'Row':17,'Format':'numberic','Value':'13004','TargetCode':''}</v>
      </c>
    </row>
    <row r="165" ht="12.75">
      <c r="A165" t="str">
        <f>CONCATENATE("{'SheetId':'9f0499bc-7fdf-466f-858e-64171f5a4e41'",",","'UId':'76aa55e7-21e7-4982-86d8-afc5d0858f0b'",",'Col':",COLUMN(BCKetQuaHoatDong_06117!F17),",'Row':",ROW(BCKetQuaHoatDong_06117!F17),",","'Format':'numberic'",",'Value':'",SUBSTITUTE(BCKetQuaHoatDong_06117!F17,"'","\'"),"','TargetCode':''}")</f>
        <v>{'SheetId':'9f0499bc-7fdf-466f-858e-64171f5a4e41','UId':'76aa55e7-21e7-4982-86d8-afc5d0858f0b','Col':6,'Row':17,'Format':'numberic','Value':'16187075','TargetCode':''}</v>
      </c>
    </row>
    <row r="166" ht="12.75">
      <c r="A166" t="str">
        <f>CONCATENATE("{'SheetId':'9f0499bc-7fdf-466f-858e-64171f5a4e41'",",","'UId':'a0eaf5be-4747-44c8-89dc-8696d236a4ea'",",'Col':",COLUMN(BCKetQuaHoatDong_06117!A20),",'Row':",ROW(BCKetQuaHoatDong_06117!A20),",","'ColDynamic':",COLUMN(BCKetQuaHoatDong_06117!A21),",","'RowDynamic':",ROW(BCKetQuaHoatDong_06117!A21),",","'Format':'numberic'",",'Value':'",SUBSTITUTE(BCKetQuaHoatDong_06117!A20,"'","\'"),"','TargetCode':''}")</f>
        <v>{'SheetId':'9f0499bc-7fdf-466f-858e-64171f5a4e41','UId':'a0eaf5be-4747-44c8-89dc-8696d236a4ea','Col':1,'Row':20,'ColDynamic':1,'RowDynamic':21,'Format':'numberic','Value':' ','TargetCode':''}</v>
      </c>
    </row>
    <row r="167" ht="12.75">
      <c r="A167" t="str">
        <f>CONCATENATE("{'SheetId':'9f0499bc-7fdf-466f-858e-64171f5a4e41'",",","'UId':'141a0bb8-f6bf-4158-abb5-53109146b6f8'",",'Col':",COLUMN(BCKetQuaHoatDong_06117!B20),",'Row':",ROW(BCKetQuaHoatDong_06117!B20),",","'ColDynamic':",COLUMN(BCKetQuaHoatDong_06117!B21),",","'RowDynamic':",ROW(BCKetQuaHoatDong_06117!B21),",","'Format':'string'",",'Value':'",SUBSTITUTE(BCKetQuaHoatDong_06117!B20,"'","\'"),"','TargetCode':''}")</f>
        <v>{'SheetId':'9f0499bc-7fdf-466f-858e-64171f5a4e41','UId':'141a0bb8-f6bf-4158-abb5-53109146b6f8','Col':2,'Row':20,'ColDynamic':2,'RowDynamic':21,'Format':'string','Value':'Chi phí khác','TargetCode':''}</v>
      </c>
    </row>
    <row r="168" ht="12.75">
      <c r="A168" t="str">
        <f>CONCATENATE("{'SheetId':'9f0499bc-7fdf-466f-858e-64171f5a4e41'",",","'UId':'6905a09e-c2ba-4b53-be6e-4b384f36e06c'",",'Col':",COLUMN(BCKetQuaHoatDong_06117!C20),",'Row':",ROW(BCKetQuaHoatDong_06117!C20),",","'ColDynamic':",COLUMN(BCKetQuaHoatDong_06117!C21),",","'RowDynamic':",ROW(BCKetQuaHoatDong_06117!C21),",","'Format':'numberic'",",'Value':'",SUBSTITUTE(BCKetQuaHoatDong_06117!C20,"'","\'"),"','TargetCode':''}")</f>
        <v>{'SheetId':'9f0499bc-7fdf-466f-858e-64171f5a4e41','UId':'6905a09e-c2ba-4b53-be6e-4b384f36e06c','Col':3,'Row':20,'ColDynamic':3,'RowDynamic':21,'Format':'numberic','Value':'2232.2','TargetCode':''}</v>
      </c>
    </row>
    <row r="169" ht="12.75">
      <c r="A169" t="str">
        <f>CONCATENATE("{'SheetId':'9f0499bc-7fdf-466f-858e-64171f5a4e41'",",","'UId':'a4678b54-6d84-4fc6-82af-93c8ba796b7e'",",'Col':",COLUMN(BCKetQuaHoatDong_06117!D20),",'Row':",ROW(BCKetQuaHoatDong_06117!D20),",","'ColDynamic':",COLUMN(BCKetQuaHoatDong_06117!D21),",","'RowDynamic':",ROW(BCKetQuaHoatDong_06117!D21),",","'Format':'numberic'",",'Value':'",SUBSTITUTE(BCKetQuaHoatDong_06117!D20,"'","\'"),"','TargetCode':''}")</f>
        <v>{'SheetId':'9f0499bc-7fdf-466f-858e-64171f5a4e41','UId':'a4678b54-6d84-4fc6-82af-93c8ba796b7e','Col':4,'Row':20,'ColDynamic':4,'RowDynamic':21,'Format':'numberic','Value':'51971','TargetCode':''}</v>
      </c>
    </row>
    <row r="170" ht="12.75">
      <c r="A170" t="str">
        <f>CONCATENATE("{'SheetId':'9f0499bc-7fdf-466f-858e-64171f5a4e41'",",","'UId':'caa60042-71ff-4827-9ff9-01598a48d39c'",",'Col':",COLUMN(BCKetQuaHoatDong_06117!E20),",'Row':",ROW(BCKetQuaHoatDong_06117!E20),",","'ColDynamic':",COLUMN(BCKetQuaHoatDong_06117!E21),",","'RowDynamic':",ROW(BCKetQuaHoatDong_06117!E21),",","'Format':'numberic'",",'Value':'",SUBSTITUTE(BCKetQuaHoatDong_06117!E20,"'","\'"),"','TargetCode':''}")</f>
        <v>{'SheetId':'9f0499bc-7fdf-466f-858e-64171f5a4e41','UId':'caa60042-71ff-4827-9ff9-01598a48d39c','Col':5,'Row':20,'ColDynamic':5,'RowDynamic':21,'Format':'numberic','Value':'13004','TargetCode':''}</v>
      </c>
    </row>
    <row r="171" ht="12.75">
      <c r="A171" t="str">
        <f>CONCATENATE("{'SheetId':'9f0499bc-7fdf-466f-858e-64171f5a4e41'",",","'UId':'377b527a-1c97-40b7-bcbd-ebc3498c821a'",",'Col':",COLUMN(BCKetQuaHoatDong_06117!F20),",'Row':",ROW(BCKetQuaHoatDong_06117!F20),",","'ColDynamic':",COLUMN(BCKetQuaHoatDong_06117!F21),",","'RowDynamic':",ROW(BCKetQuaHoatDong_06117!F21),",","'Format':'numberic'",",'Value':'",SUBSTITUTE(BCKetQuaHoatDong_06117!F20,"'","\'"),"','TargetCode':''}")</f>
        <v>{'SheetId':'9f0499bc-7fdf-466f-858e-64171f5a4e41','UId':'377b527a-1c97-40b7-bcbd-ebc3498c821a','Col':6,'Row':20,'ColDynamic':6,'RowDynamic':21,'Format':'numberic','Value':'16187075','TargetCode':''}</v>
      </c>
    </row>
    <row r="172" ht="12.75">
      <c r="A172" t="str">
        <f>CONCATENATE("{'SheetId':'9f0499bc-7fdf-466f-858e-64171f5a4e41'",",","'UId':'38a3a91f-b01e-45c2-b5f0-c1707c708fbb'",",'Col':",COLUMN(BCKetQuaHoatDong_06117!D21),",'Row':",ROW(BCKetQuaHoatDong_06117!D21),",","'Format':'numberic'",",'Value':'",SUBSTITUTE(BCKetQuaHoatDong_06117!D21,"'","\'"),"','TargetCode':''}")</f>
        <v>{'SheetId':'9f0499bc-7fdf-466f-858e-64171f5a4e41','UId':'38a3a91f-b01e-45c2-b5f0-c1707c708fbb','Col':4,'Row':21,'Format':'numberic','Value':'-136168196','TargetCode':''}</v>
      </c>
    </row>
    <row r="173" ht="12.75">
      <c r="A173" t="str">
        <f>CONCATENATE("{'SheetId':'9f0499bc-7fdf-466f-858e-64171f5a4e41'",",","'UId':'8130b8d9-328b-494e-92da-a5be9e6805c7'",",'Col':",COLUMN(BCKetQuaHoatDong_06117!E21),",'Row':",ROW(BCKetQuaHoatDong_06117!E21),",","'Format':'numberic'",",'Value':'",SUBSTITUTE(BCKetQuaHoatDong_06117!E21,"'","\'"),"','TargetCode':''}")</f>
        <v>{'SheetId':'9f0499bc-7fdf-466f-858e-64171f5a4e41','UId':'8130b8d9-328b-494e-92da-a5be9e6805c7','Col':5,'Row':21,'Format':'numberic','Value':'-195176346','TargetCode':''}</v>
      </c>
    </row>
    <row r="174" ht="12.75">
      <c r="A174" t="str">
        <f>CONCATENATE("{'SheetId':'9f0499bc-7fdf-466f-858e-64171f5a4e41'",",","'UId':'1268971d-aec4-4d18-9dad-547f1842a001'",",'Col':",COLUMN(BCKetQuaHoatDong_06117!F21),",'Row':",ROW(BCKetQuaHoatDong_06117!F21),",","'Format':'numberic'",",'Value':'",SUBSTITUTE(BCKetQuaHoatDong_06117!F21,"'","\'"),"','TargetCode':''}")</f>
        <v>{'SheetId':'9f0499bc-7fdf-466f-858e-64171f5a4e41','UId':'1268971d-aec4-4d18-9dad-547f1842a001','Col':6,'Row':21,'Format':'numberic','Value':'-930252460','TargetCode':''}</v>
      </c>
    </row>
    <row r="175" ht="12.75">
      <c r="A175" t="str">
        <f>CONCATENATE("{'SheetId':'9f0499bc-7fdf-466f-858e-64171f5a4e41'",",","'UId':'d2452298-d733-4df4-9378-e361c0350d90'",",'Col':",COLUMN(BCKetQuaHoatDong_06117!D22),",'Row':",ROW(BCKetQuaHoatDong_06117!D22),",","'Format':'numberic'",",'Value':'",SUBSTITUTE(BCKetQuaHoatDong_06117!D22,"'","\'"),"','TargetCode':''}")</f>
        <v>{'SheetId':'9f0499bc-7fdf-466f-858e-64171f5a4e41','UId':'d2452298-d733-4df4-9378-e361c0350d90','Col':4,'Row':22,'Format':'numberic','Value':'112925000','TargetCode':''}</v>
      </c>
    </row>
    <row r="176" ht="12.75">
      <c r="A176" t="str">
        <f>CONCATENATE("{'SheetId':'9f0499bc-7fdf-466f-858e-64171f5a4e41'",",","'UId':'a5156e00-328f-4d9e-8fb7-d79a4b97561d'",",'Col':",COLUMN(BCKetQuaHoatDong_06117!E22),",'Row':",ROW(BCKetQuaHoatDong_06117!E22),",","'Format':'numberic'",",'Value':'",SUBSTITUTE(BCKetQuaHoatDong_06117!E22,"'","\'"),"','TargetCode':''}")</f>
        <v>{'SheetId':'9f0499bc-7fdf-466f-858e-64171f5a4e41','UId':'a5156e00-328f-4d9e-8fb7-d79a4b97561d','Col':5,'Row':22,'Format':'numberic','Value':'-1336054400','TargetCode':''}</v>
      </c>
    </row>
    <row r="177" ht="12.75">
      <c r="A177" t="str">
        <f>CONCATENATE("{'SheetId':'9f0499bc-7fdf-466f-858e-64171f5a4e41'",",","'UId':'5686740e-d712-4779-b2c8-31705da010da'",",'Col':",COLUMN(BCKetQuaHoatDong_06117!F22),",'Row':",ROW(BCKetQuaHoatDong_06117!F22),",","'Format':'numberic'",",'Value':'",SUBSTITUTE(BCKetQuaHoatDong_06117!F22,"'","\'"),"','TargetCode':''}")</f>
        <v>{'SheetId':'9f0499bc-7fdf-466f-858e-64171f5a4e41','UId':'5686740e-d712-4779-b2c8-31705da010da','Col':6,'Row':22,'Format':'numberic','Value':'-883617400','TargetCode':''}</v>
      </c>
    </row>
    <row r="178" ht="12.75">
      <c r="A178" t="str">
        <f>CONCATENATE("{'SheetId':'9f0499bc-7fdf-466f-858e-64171f5a4e41'",",","'UId':'290f007c-4527-4267-a2a4-e6549d55903d'",",'Col':",COLUMN(BCKetQuaHoatDong_06117!D23),",'Row':",ROW(BCKetQuaHoatDong_06117!D23),",","'Format':'numberic'",",'Value':'",SUBSTITUTE(BCKetQuaHoatDong_06117!D23,"'","\'"),"','TargetCode':''}")</f>
        <v>{'SheetId':'9f0499bc-7fdf-466f-858e-64171f5a4e41','UId':'290f007c-4527-4267-a2a4-e6549d55903d','Col':4,'Row':23,'Format':'numberic','Value':'-861425000','TargetCode':''}</v>
      </c>
    </row>
    <row r="179" ht="12.75">
      <c r="A179" t="str">
        <f>CONCATENATE("{'SheetId':'9f0499bc-7fdf-466f-858e-64171f5a4e41'",",","'UId':'16296614-89f9-4d93-8c2d-68ec7fbd16f2'",",'Col':",COLUMN(BCKetQuaHoatDong_06117!E23),",'Row':",ROW(BCKetQuaHoatDong_06117!E23),",","'Format':'numberic'",",'Value':'",SUBSTITUTE(BCKetQuaHoatDong_06117!E23,"'","\'"),"','TargetCode':''}")</f>
        <v>{'SheetId':'9f0499bc-7fdf-466f-858e-64171f5a4e41','UId':'16296614-89f9-4d93-8c2d-68ec7fbd16f2','Col':5,'Row':23,'Format':'numberic','Value':'-483300246','TargetCode':''}</v>
      </c>
    </row>
    <row r="180" ht="12.75">
      <c r="A180" t="str">
        <f>CONCATENATE("{'SheetId':'9f0499bc-7fdf-466f-858e-64171f5a4e41'",",","'UId':'ecdba23d-aaf1-46ee-a77f-ae1e9f77003d'",",'Col':",COLUMN(BCKetQuaHoatDong_06117!F23),",'Row':",ROW(BCKetQuaHoatDong_06117!F23),",","'Format':'numberic'",",'Value':'",SUBSTITUTE(BCKetQuaHoatDong_06117!F23,"'","\'"),"','TargetCode':''}")</f>
        <v>{'SheetId':'9f0499bc-7fdf-466f-858e-64171f5a4e41','UId':'ecdba23d-aaf1-46ee-a77f-ae1e9f77003d','Col':6,'Row':23,'Format':'numberic','Value':'1777904521','TargetCode':''}</v>
      </c>
    </row>
    <row r="181" ht="12.75">
      <c r="A181" t="str">
        <f>CONCATENATE("{'SheetId':'9f0499bc-7fdf-466f-858e-64171f5a4e41'",",","'UId':'ebbc855b-d0b1-4cee-9591-7f60875ae68f'",",'Col':",COLUMN(BCKetQuaHoatDong_06117!D24),",'Row':",ROW(BCKetQuaHoatDong_06117!D24),",","'Format':'numberic'",",'Value':'",SUBSTITUTE(BCKetQuaHoatDong_06117!D24,"'","\'"),"','TargetCode':''}")</f>
        <v>{'SheetId':'9f0499bc-7fdf-466f-858e-64171f5a4e41','UId':'ebbc855b-d0b1-4cee-9591-7f60875ae68f','Col':4,'Row':24,'Format':'numberic','Value':'974350000','TargetCode':''}</v>
      </c>
    </row>
    <row r="182" ht="12.75">
      <c r="A182" t="str">
        <f>CONCATENATE("{'SheetId':'9f0499bc-7fdf-466f-858e-64171f5a4e41'",",","'UId':'f1aa294a-789c-4547-b886-03338c9092d4'",",'Col':",COLUMN(BCKetQuaHoatDong_06117!E24),",'Row':",ROW(BCKetQuaHoatDong_06117!E24),",","'Format':'numberic'",",'Value':'",SUBSTITUTE(BCKetQuaHoatDong_06117!E24,"'","\'"),"','TargetCode':''}")</f>
        <v>{'SheetId':'9f0499bc-7fdf-466f-858e-64171f5a4e41','UId':'f1aa294a-789c-4547-b886-03338c9092d4','Col':5,'Row':24,'Format':'numberic','Value':'-852754154','TargetCode':''}</v>
      </c>
    </row>
    <row r="183" ht="12.75">
      <c r="A183" t="str">
        <f>CONCATENATE("{'SheetId':'9f0499bc-7fdf-466f-858e-64171f5a4e41'",",","'UId':'5f62cabd-6a25-4e7a-b24b-2fabca4214a8'",",'Col':",COLUMN(BCKetQuaHoatDong_06117!F24),",'Row':",ROW(BCKetQuaHoatDong_06117!F24),",","'Format':'numberic'",",'Value':'",SUBSTITUTE(BCKetQuaHoatDong_06117!F24,"'","\'"),"','TargetCode':''}")</f>
        <v>{'SheetId':'9f0499bc-7fdf-466f-858e-64171f5a4e41','UId':'5f62cabd-6a25-4e7a-b24b-2fabca4214a8','Col':6,'Row':24,'Format':'numberic','Value':'-2661521921','TargetCode':''}</v>
      </c>
    </row>
    <row r="184" ht="12.75">
      <c r="A184" t="str">
        <f>CONCATENATE("{'SheetId':'9f0499bc-7fdf-466f-858e-64171f5a4e41'",",","'UId':'d7714b42-515f-42ef-bf86-53d0cecd3934'",",'Col':",COLUMN(BCKetQuaHoatDong_06117!D25),",'Row':",ROW(BCKetQuaHoatDong_06117!D25),",","'Format':'numberic'",",'Value':'",SUBSTITUTE(BCKetQuaHoatDong_06117!D25,"'","\'"),"','TargetCode':''}")</f>
        <v>{'SheetId':'9f0499bc-7fdf-466f-858e-64171f5a4e41','UId':'d7714b42-515f-42ef-bf86-53d0cecd3934','Col':4,'Row':25,'Format':'numberic','Value':'-23243196','TargetCode':''}</v>
      </c>
    </row>
    <row r="185" ht="12.75">
      <c r="A185" t="str">
        <f>CONCATENATE("{'SheetId':'9f0499bc-7fdf-466f-858e-64171f5a4e41'",",","'UId':'ec1f60a0-2572-4cba-abb3-8b98c0527c84'",",'Col':",COLUMN(BCKetQuaHoatDong_06117!E25),",'Row':",ROW(BCKetQuaHoatDong_06117!E25),",","'Format':'numberic'",",'Value':'",SUBSTITUTE(BCKetQuaHoatDong_06117!E25,"'","\'"),"','TargetCode':''}")</f>
        <v>{'SheetId':'9f0499bc-7fdf-466f-858e-64171f5a4e41','UId':'ec1f60a0-2572-4cba-abb3-8b98c0527c84','Col':5,'Row':25,'Format':'numberic','Value':'-1531230746','TargetCode':''}</v>
      </c>
    </row>
    <row r="186" ht="12.75">
      <c r="A186" t="str">
        <f>CONCATENATE("{'SheetId':'9f0499bc-7fdf-466f-858e-64171f5a4e41'",",","'UId':'f5f8ca5d-17a1-4056-86bd-31bf83508e62'",",'Col':",COLUMN(BCKetQuaHoatDong_06117!F25),",'Row':",ROW(BCKetQuaHoatDong_06117!F25),",","'Format':'numberic'",",'Value':'",SUBSTITUTE(BCKetQuaHoatDong_06117!F25,"'","\'"),"','TargetCode':''}")</f>
        <v>{'SheetId':'9f0499bc-7fdf-466f-858e-64171f5a4e41','UId':'f5f8ca5d-17a1-4056-86bd-31bf83508e62','Col':6,'Row':25,'Format':'numberic','Value':'-1813869860','TargetCode':''}</v>
      </c>
    </row>
    <row r="187" ht="12.75">
      <c r="A187" t="str">
        <f>CONCATENATE("{'SheetId':'9f0499bc-7fdf-466f-858e-64171f5a4e41'",",","'UId':'117aa9b8-574b-4617-b605-c28ee5df6106'",",'Col':",COLUMN(BCKetQuaHoatDong_06117!D26),",'Row':",ROW(BCKetQuaHoatDong_06117!D26),",","'Format':'numberic'",",'Value':'",SUBSTITUTE(BCKetQuaHoatDong_06117!D26,"'","\'"),"','TargetCode':''}")</f>
        <v>{'SheetId':'9f0499bc-7fdf-466f-858e-64171f5a4e41','UId':'117aa9b8-574b-4617-b605-c28ee5df6106','Col':4,'Row':26,'Format':'numberic','Value':'44888942671','TargetCode':''}</v>
      </c>
    </row>
    <row r="188" ht="12.75">
      <c r="A188" t="str">
        <f>CONCATENATE("{'SheetId':'9f0499bc-7fdf-466f-858e-64171f5a4e41'",",","'UId':'dbb5f829-73f9-4b34-bf99-f414f22f1167'",",'Col':",COLUMN(BCKetQuaHoatDong_06117!E26),",'Row':",ROW(BCKetQuaHoatDong_06117!E26),",","'Format':'numberic'",",'Value':'",SUBSTITUTE(BCKetQuaHoatDong_06117!E26,"'","\'"),"','TargetCode':''}")</f>
        <v>{'SheetId':'9f0499bc-7fdf-466f-858e-64171f5a4e41','UId':'dbb5f829-73f9-4b34-bf99-f414f22f1167','Col':5,'Row':26,'Format':'numberic','Value':'46420173417','TargetCode':''}</v>
      </c>
    </row>
    <row r="189" ht="12.75">
      <c r="A189" t="str">
        <f>CONCATENATE("{'SheetId':'9f0499bc-7fdf-466f-858e-64171f5a4e41'",",","'UId':'a35bc912-a4a1-4e37-9299-45d6aef59c30'",",'Col':",COLUMN(BCKetQuaHoatDong_06117!F26),",'Row':",ROW(BCKetQuaHoatDong_06117!F26),",","'Format':'numberic'",",'Value':'",SUBSTITUTE(BCKetQuaHoatDong_06117!F26,"'","\'"),"','TargetCode':''}")</f>
        <v>{'SheetId':'9f0499bc-7fdf-466f-858e-64171f5a4e41','UId':'a35bc912-a4a1-4e37-9299-45d6aef59c30','Col':6,'Row':26,'Format':'numberic','Value':'46679569335','TargetCode':''}</v>
      </c>
    </row>
    <row r="190" ht="12.75">
      <c r="A190" t="str">
        <f>CONCATENATE("{'SheetId':'9f0499bc-7fdf-466f-858e-64171f5a4e41'",",","'UId':'eb92428b-9d49-4888-9f14-bcbfbe5c6bf2'",",'Col':",COLUMN(BCKetQuaHoatDong_06117!D27),",'Row':",ROW(BCKetQuaHoatDong_06117!D27),",","'Format':'numberic'",",'Value':'",SUBSTITUTE(BCKetQuaHoatDong_06117!D27,"'","\'"),"','TargetCode':''}")</f>
        <v>{'SheetId':'9f0499bc-7fdf-466f-858e-64171f5a4e41','UId':'eb92428b-9d49-4888-9f14-bcbfbe5c6bf2','Col':4,'Row':27,'Format':'numberic','Value':'-23243196','TargetCode':''}</v>
      </c>
    </row>
    <row r="191" ht="12.75">
      <c r="A191" t="str">
        <f>CONCATENATE("{'SheetId':'9f0499bc-7fdf-466f-858e-64171f5a4e41'",",","'UId':'320d6bb6-c7fd-43a2-9ebb-b238b4ad2bad'",",'Col':",COLUMN(BCKetQuaHoatDong_06117!E27),",'Row':",ROW(BCKetQuaHoatDong_06117!E27),",","'Format':'numberic'",",'Value':'",SUBSTITUTE(BCKetQuaHoatDong_06117!E27,"'","\'"),"','TargetCode':''}")</f>
        <v>{'SheetId':'9f0499bc-7fdf-466f-858e-64171f5a4e41','UId':'320d6bb6-c7fd-43a2-9ebb-b238b4ad2bad','Col':5,'Row':27,'Format':'numberic','Value':'-1531230746','TargetCode':''}</v>
      </c>
    </row>
    <row r="192" ht="12.75">
      <c r="A192" t="str">
        <f>CONCATENATE("{'SheetId':'9f0499bc-7fdf-466f-858e-64171f5a4e41'",",","'UId':'e29da00d-8775-4d3c-9298-05be59e17f80'",",'Col':",COLUMN(BCKetQuaHoatDong_06117!F27),",'Row':",ROW(BCKetQuaHoatDong_06117!F27),",","'Format':'numberic'",",'Value':'",SUBSTITUTE(BCKetQuaHoatDong_06117!F27,"'","\'"),"','TargetCode':''}")</f>
        <v>{'SheetId':'9f0499bc-7fdf-466f-858e-64171f5a4e41','UId':'e29da00d-8775-4d3c-9298-05be59e17f80','Col':6,'Row':27,'Format':'numberic','Value':'-1813869860','TargetCode':''}</v>
      </c>
    </row>
    <row r="193" ht="12.75">
      <c r="A193" t="str">
        <f>CONCATENATE("{'SheetId':'9f0499bc-7fdf-466f-858e-64171f5a4e41'",",","'UId':'593a1259-0ad5-47b5-929b-9a7b52e3d015'",",'Col':",COLUMN(BCKetQuaHoatDong_06117!D28),",'Row':",ROW(BCKetQuaHoatDong_06117!D28),",","'Format':'numberic'",",'Value':'",SUBSTITUTE(BCKetQuaHoatDong_06117!D28,"'","\'"),"','TargetCode':''}")</f>
        <v>{'SheetId':'9f0499bc-7fdf-466f-858e-64171f5a4e41','UId':'593a1259-0ad5-47b5-929b-9a7b52e3d015','Col':4,'Row':28,'Format':'numberic','Value':'','TargetCode':''}</v>
      </c>
    </row>
    <row r="194" ht="12.75">
      <c r="A194" t="str">
        <f>CONCATENATE("{'SheetId':'9f0499bc-7fdf-466f-858e-64171f5a4e41'",",","'UId':'818ae998-e0bb-4aff-a00f-200867da2ba0'",",'Col':",COLUMN(BCKetQuaHoatDong_06117!E28),",'Row':",ROW(BCKetQuaHoatDong_06117!E28),",","'Format':'numberic'",",'Value':'",SUBSTITUTE(BCKetQuaHoatDong_06117!E28,"'","\'"),"','TargetCode':''}")</f>
        <v>{'SheetId':'9f0499bc-7fdf-466f-858e-64171f5a4e41','UId':'818ae998-e0bb-4aff-a00f-200867da2ba0','Col':5,'Row':28,'Format':'numberic','Value':'','TargetCode':''}</v>
      </c>
    </row>
    <row r="195" ht="12.75">
      <c r="A195" t="str">
        <f>CONCATENATE("{'SheetId':'9f0499bc-7fdf-466f-858e-64171f5a4e41'",",","'UId':'ecd926bb-c43b-4e19-9d15-316cd589bdee'",",'Col':",COLUMN(BCKetQuaHoatDong_06117!F28),",'Row':",ROW(BCKetQuaHoatDong_06117!F28),",","'Format':'numberic'",",'Value':'",SUBSTITUTE(BCKetQuaHoatDong_06117!F28,"'","\'"),"','TargetCode':''}")</f>
        <v>{'SheetId':'9f0499bc-7fdf-466f-858e-64171f5a4e41','UId':'ecd926bb-c43b-4e19-9d15-316cd589bdee','Col':6,'Row':28,'Format':'numberic','Value':'','TargetCode':''}</v>
      </c>
    </row>
    <row r="196" ht="12.75">
      <c r="A196" t="str">
        <f>CONCATENATE("{'SheetId':'9f0499bc-7fdf-466f-858e-64171f5a4e41'",",","'UId':'bfd72bba-c211-4f8e-9ecd-9ee4a52f04bd'",",'Col':",COLUMN(BCKetQuaHoatDong_06117!D29),",'Row':",ROW(BCKetQuaHoatDong_06117!D29),",","'Format':'numberic'",",'Value':'",SUBSTITUTE(BCKetQuaHoatDong_06117!D29,"'","\'"),"','TargetCode':''}")</f>
        <v>{'SheetId':'9f0499bc-7fdf-466f-858e-64171f5a4e41','UId':'bfd72bba-c211-4f8e-9ecd-9ee4a52f04bd','Col':4,'Row':29,'Format':'numberic','Value':'-23243196','TargetCode':''}</v>
      </c>
    </row>
    <row r="197" ht="12.75">
      <c r="A197" t="str">
        <f>CONCATENATE("{'SheetId':'9f0499bc-7fdf-466f-858e-64171f5a4e41'",",","'UId':'cd326691-0867-4329-9a1f-8c4ceac46193'",",'Col':",COLUMN(BCKetQuaHoatDong_06117!E29),",'Row':",ROW(BCKetQuaHoatDong_06117!E29),",","'Format':'numberic'",",'Value':'",SUBSTITUTE(BCKetQuaHoatDong_06117!E29,"'","\'"),"','TargetCode':''}")</f>
        <v>{'SheetId':'9f0499bc-7fdf-466f-858e-64171f5a4e41','UId':'cd326691-0867-4329-9a1f-8c4ceac46193','Col':5,'Row':29,'Format':'numberic','Value':'-1531230746','TargetCode':''}</v>
      </c>
    </row>
    <row r="198" ht="12.75">
      <c r="A198" t="str">
        <f>CONCATENATE("{'SheetId':'9f0499bc-7fdf-466f-858e-64171f5a4e41'",",","'UId':'0fd54c7e-8a7a-4167-9c56-6c7a3937cda6'",",'Col':",COLUMN(BCKetQuaHoatDong_06117!F29),",'Row':",ROW(BCKetQuaHoatDong_06117!F29),",","'Format':'numberic'",",'Value':'",SUBSTITUTE(BCKetQuaHoatDong_06117!F29,"'","\'"),"','TargetCode':''}")</f>
        <v>{'SheetId':'9f0499bc-7fdf-466f-858e-64171f5a4e41','UId':'0fd54c7e-8a7a-4167-9c56-6c7a3937cda6','Col':6,'Row':29,'Format':'numberic','Value':'-1813869860','TargetCode':''}</v>
      </c>
    </row>
    <row r="199" ht="12.75">
      <c r="A199" t="str">
        <f>CONCATENATE("{'SheetId':'9f0499bc-7fdf-466f-858e-64171f5a4e41'",",","'UId':'6ea9602c-d229-4e5f-b550-7e407913acc1'",",'Col':",COLUMN(BCKetQuaHoatDong_06117!D30),",'Row':",ROW(BCKetQuaHoatDong_06117!D30),",","'Format':'numberic'",",'Value':'",SUBSTITUTE(BCKetQuaHoatDong_06117!D30,"'","\'"),"','TargetCode':''}")</f>
        <v>{'SheetId':'9f0499bc-7fdf-466f-858e-64171f5a4e41','UId':'6ea9602c-d229-4e5f-b550-7e407913acc1','Col':4,'Row':30,'Format':'numberic','Value':'','TargetCode':''}</v>
      </c>
    </row>
    <row r="200" ht="12.75">
      <c r="A200" t="str">
        <f>CONCATENATE("{'SheetId':'9f0499bc-7fdf-466f-858e-64171f5a4e41'",",","'UId':'075456cc-16ed-4bb3-a49a-e744f91d7a05'",",'Col':",COLUMN(BCKetQuaHoatDong_06117!E30),",'Row':",ROW(BCKetQuaHoatDong_06117!E30),",","'Format':'numberic'",",'Value':'",SUBSTITUTE(BCKetQuaHoatDong_06117!E30,"'","\'"),"','TargetCode':''}")</f>
        <v>{'SheetId':'9f0499bc-7fdf-466f-858e-64171f5a4e41','UId':'075456cc-16ed-4bb3-a49a-e744f91d7a05','Col':5,'Row':30,'Format':'numberic','Value':'','TargetCode':''}</v>
      </c>
    </row>
    <row r="201" ht="12.75">
      <c r="A201" t="str">
        <f>CONCATENATE("{'SheetId':'9f0499bc-7fdf-466f-858e-64171f5a4e41'",",","'UId':'556f9272-6bc6-48df-97ff-7a5a4dfa309c'",",'Col':",COLUMN(BCKetQuaHoatDong_06117!F30),",'Row':",ROW(BCKetQuaHoatDong_06117!F30),",","'Format':'numberic'",",'Value':'",SUBSTITUTE(BCKetQuaHoatDong_06117!F30,"'","\'"),"','TargetCode':''}")</f>
        <v>{'SheetId':'9f0499bc-7fdf-466f-858e-64171f5a4e41','UId':'556f9272-6bc6-48df-97ff-7a5a4dfa309c','Col':6,'Row':30,'Format':'numberic','Value':'','TargetCode':''}</v>
      </c>
    </row>
    <row r="202" ht="12.75">
      <c r="A202" t="str">
        <f>CONCATENATE("{'SheetId':'9f0499bc-7fdf-466f-858e-64171f5a4e41'",",","'UId':'e11379b2-3c1a-47ba-afd2-e5d080667b8d'",",'Col':",COLUMN(BCKetQuaHoatDong_06117!D31),",'Row':",ROW(BCKetQuaHoatDong_06117!D31),",","'Format':'numberic'",",'Value':'",SUBSTITUTE(BCKetQuaHoatDong_06117!D31,"'","\'"),"','TargetCode':''}")</f>
        <v>{'SheetId':'9f0499bc-7fdf-466f-858e-64171f5a4e41','UId':'e11379b2-3c1a-47ba-afd2-e5d080667b8d','Col':4,'Row':31,'Format':'numberic','Value':'','TargetCode':''}</v>
      </c>
    </row>
    <row r="203" ht="12.75">
      <c r="A203" t="str">
        <f>CONCATENATE("{'SheetId':'9f0499bc-7fdf-466f-858e-64171f5a4e41'",",","'UId':'2712a250-4d74-487e-b3b1-b573814d4e0a'",",'Col':",COLUMN(BCKetQuaHoatDong_06117!E31),",'Row':",ROW(BCKetQuaHoatDong_06117!E31),",","'Format':'numberic'",",'Value':'",SUBSTITUTE(BCKetQuaHoatDong_06117!E31,"'","\'"),"','TargetCode':''}")</f>
        <v>{'SheetId':'9f0499bc-7fdf-466f-858e-64171f5a4e41','UId':'2712a250-4d74-487e-b3b1-b573814d4e0a','Col':5,'Row':31,'Format':'numberic','Value':'','TargetCode':''}</v>
      </c>
    </row>
    <row r="204" ht="12.75">
      <c r="A204" t="str">
        <f>CONCATENATE("{'SheetId':'9f0499bc-7fdf-466f-858e-64171f5a4e41'",",","'UId':'b30623b7-29a2-4979-a8a0-872dd25cfe3d'",",'Col':",COLUMN(BCKetQuaHoatDong_06117!F31),",'Row':",ROW(BCKetQuaHoatDong_06117!F31),",","'Format':'numberic'",",'Value':'",SUBSTITUTE(BCKetQuaHoatDong_06117!F31,"'","\'"),"','TargetCode':''}")</f>
        <v>{'SheetId':'9f0499bc-7fdf-466f-858e-64171f5a4e41','UId':'b30623b7-29a2-4979-a8a0-872dd25cfe3d','Col':6,'Row':31,'Format':'numberic','Value':'','TargetCode':''}</v>
      </c>
    </row>
    <row r="205" ht="12.75">
      <c r="A205" t="str">
        <f>CONCATENATE("{'SheetId':'9f0499bc-7fdf-466f-858e-64171f5a4e41'",",","'UId':'50d9d533-bac7-4f48-aec0-1a7e4c3d12ca'",",'Col':",COLUMN(BCKetQuaHoatDong_06117!D32),",'Row':",ROW(BCKetQuaHoatDong_06117!D32),",","'Format':'numberic'",",'Value':'",SUBSTITUTE(BCKetQuaHoatDong_06117!D32,"'","\'"),"','TargetCode':''}")</f>
        <v>{'SheetId':'9f0499bc-7fdf-466f-858e-64171f5a4e41','UId':'50d9d533-bac7-4f48-aec0-1a7e4c3d12ca','Col':4,'Row':32,'Format':'numberic','Value':'44865699475','TargetCode':''}</v>
      </c>
    </row>
    <row r="206" ht="12.75">
      <c r="A206" t="str">
        <f>CONCATENATE("{'SheetId':'9f0499bc-7fdf-466f-858e-64171f5a4e41'",",","'UId':'bb7a1e89-86da-484d-8ec8-7afacd682f41'",",'Col':",COLUMN(BCKetQuaHoatDong_06117!E32),",'Row':",ROW(BCKetQuaHoatDong_06117!E32),",","'Format':'numberic'",",'Value':'",SUBSTITUTE(BCKetQuaHoatDong_06117!E32,"'","\'"),"','TargetCode':''}")</f>
        <v>{'SheetId':'9f0499bc-7fdf-466f-858e-64171f5a4e41','UId':'bb7a1e89-86da-484d-8ec8-7afacd682f41','Col':5,'Row':32,'Format':'numberic','Value':'44888942671','TargetCode':''}</v>
      </c>
    </row>
    <row r="207" ht="12.75">
      <c r="A207" t="str">
        <f>CONCATENATE("{'SheetId':'9f0499bc-7fdf-466f-858e-64171f5a4e41'",",","'UId':'4c5eb36c-dc61-4ba8-bea8-e6e2e14f1ea6'",",'Col':",COLUMN(BCKetQuaHoatDong_06117!F32),",'Row':",ROW(BCKetQuaHoatDong_06117!F32),",","'Format':'numberic'",",'Value':'",SUBSTITUTE(BCKetQuaHoatDong_06117!F32,"'","\'"),"','TargetCode':''}")</f>
        <v>{'SheetId':'9f0499bc-7fdf-466f-858e-64171f5a4e41','UId':'4c5eb36c-dc61-4ba8-bea8-e6e2e14f1ea6','Col':6,'Row':32,'Format':'numberic','Value':'44865699475','TargetCode':''}</v>
      </c>
    </row>
    <row r="208" ht="12.75">
      <c r="A208" t="str">
        <f>CONCATENATE("{'SheetId':'9f0499bc-7fdf-466f-858e-64171f5a4e41'",",","'UId':'2b6c5633-e0d8-4a3e-9e9d-505653fd1d7a'",",'Col':",COLUMN(BCKetQuaHoatDong_06117!D33),",'Row':",ROW(BCKetQuaHoatDong_06117!D33),",","'Format':'numberic'",",'Value':'",SUBSTITUTE(BCKetQuaHoatDong_06117!D33,"'","\'"),"','TargetCode':''}")</f>
        <v>{'SheetId':'9f0499bc-7fdf-466f-858e-64171f5a4e41','UId':'2b6c5633-e0d8-4a3e-9e9d-505653fd1d7a','Col':4,'Row':33,'Format':'numberic','Value':'','TargetCode':''}</v>
      </c>
    </row>
    <row r="209" ht="12.75">
      <c r="A209" t="str">
        <f>CONCATENATE("{'SheetId':'9f0499bc-7fdf-466f-858e-64171f5a4e41'",",","'UId':'db98d037-828f-44b3-88f0-21138ab2842b'",",'Col':",COLUMN(BCKetQuaHoatDong_06117!E33),",'Row':",ROW(BCKetQuaHoatDong_06117!E33),",","'Format':'numberic'",",'Value':'",SUBSTITUTE(BCKetQuaHoatDong_06117!E33,"'","\'"),"','TargetCode':''}")</f>
        <v>{'SheetId':'9f0499bc-7fdf-466f-858e-64171f5a4e41','UId':'db98d037-828f-44b3-88f0-21138ab2842b','Col':5,'Row':33,'Format':'numberic','Value':'','TargetCode':''}</v>
      </c>
    </row>
    <row r="210" ht="12.75">
      <c r="A210" t="str">
        <f>CONCATENATE("{'SheetId':'9f0499bc-7fdf-466f-858e-64171f5a4e41'",",","'UId':'cf0e8e8e-320b-4023-afce-e4549d6c9d4b'",",'Col':",COLUMN(BCKetQuaHoatDong_06117!F33),",'Row':",ROW(BCKetQuaHoatDong_06117!F33),",","'Format':'numberic'",",'Value':'",SUBSTITUTE(BCKetQuaHoatDong_06117!F33,"'","\'"),"','TargetCode':''}")</f>
        <v>{'SheetId':'9f0499bc-7fdf-466f-858e-64171f5a4e41','UId':'cf0e8e8e-320b-4023-afce-e4549d6c9d4b','Col':6,'Row':33,'Format':'numberic','Value':'','TargetCode':''}</v>
      </c>
    </row>
    <row r="211" ht="12.75">
      <c r="A211" t="str">
        <f>CONCATENATE("{'SheetId':'9f0499bc-7fdf-466f-858e-64171f5a4e41'",",","'UId':'7f777290-7de1-4381-8c63-db06329c700c'",",'Col':",COLUMN(BCKetQuaHoatDong_06117!D34),",'Row':",ROW(BCKetQuaHoatDong_06117!D34),",","'Format':'numberic'",",'Value':'",SUBSTITUTE(BCKetQuaHoatDong_06117!D34,"'","\'"),"','TargetCode':''}")</f>
        <v>{'SheetId':'9f0499bc-7fdf-466f-858e-64171f5a4e41','UId':'7f777290-7de1-4381-8c63-db06329c700c','Col':4,'Row':34,'Format':'numberic','Value':' ','TargetCode':''}</v>
      </c>
    </row>
    <row r="212" ht="12.75">
      <c r="A212" t="str">
        <f>CONCATENATE("{'SheetId':'9f0499bc-7fdf-466f-858e-64171f5a4e41'",",","'UId':'45555d33-1fdf-4ebd-b86c-d3b9dcfdcfac'",",'Col':",COLUMN(BCKetQuaHoatDong_06117!E34),",'Row':",ROW(BCKetQuaHoatDong_06117!E34),",","'Format':'numberic'",",'Value':'",SUBSTITUTE(BCKetQuaHoatDong_06117!E34,"'","\'"),"','TargetCode':''}")</f>
        <v>{'SheetId':'9f0499bc-7fdf-466f-858e-64171f5a4e41','UId':'45555d33-1fdf-4ebd-b86c-d3b9dcfdcfac','Col':5,'Row':34,'Format':'numberic','Value':' ','TargetCode':''}</v>
      </c>
    </row>
    <row r="213" ht="12.75">
      <c r="A213" t="str">
        <f>CONCATENATE("{'SheetId':'9f0499bc-7fdf-466f-858e-64171f5a4e41'",",","'UId':'ede44690-ce04-462f-a5c4-d6480a6d0abf'",",'Col':",COLUMN(BCKetQuaHoatDong_06117!F34),",'Row':",ROW(BCKetQuaHoatDong_06117!F34),",","'Format':'numberic'",",'Value':'",SUBSTITUTE(BCKetQuaHoatDong_06117!F34,"'","\'"),"','TargetCode':''}")</f>
        <v>{'SheetId':'9f0499bc-7fdf-466f-858e-64171f5a4e41','UId':'ede44690-ce04-462f-a5c4-d6480a6d0abf','Col':6,'Row':34,'Format':'numberic','Value':'','TargetCode':''}</v>
      </c>
    </row>
    <row r="214" ht="12.75">
      <c r="A214" t="str">
        <f>CONCATENATE("{'SheetId':'67b46b8e-8f9b-4b72-bb0c-c761b7d3774f'",",","'UId':'8c732c8c-a04b-4b20-8bbc-0368bad76325'",",'Col':",COLUMN(BCDanhMucDauTu_06118!D2),",'Row':",ROW(BCDanhMucDauTu_06118!D2),",","'Format':'numberic'",",'Value':'",SUBSTITUTE(BCDanhMucDauTu_06118!D2,"'","\'"),"','TargetCode':''}")</f>
        <v>{'SheetId':'67b46b8e-8f9b-4b72-bb0c-c761b7d3774f','UId':'8c732c8c-a04b-4b20-8bbc-0368bad76325','Col':4,'Row':2,'Format':'numberic','Value':' ','TargetCode':''}</v>
      </c>
    </row>
    <row r="215" ht="12.75">
      <c r="A215" t="str">
        <f>CONCATENATE("{'SheetId':'67b46b8e-8f9b-4b72-bb0c-c761b7d3774f'",",","'UId':'e9e7c6a0-266a-460b-9c7c-f9d56eba45ea'",",'Col':",COLUMN(BCDanhMucDauTu_06118!E2),",'Row':",ROW(BCDanhMucDauTu_06118!E2),",","'Format':'numberic'",",'Value':'",SUBSTITUTE(BCDanhMucDauTu_06118!E2,"'","\'"),"','TargetCode':''}")</f>
        <v>{'SheetId':'67b46b8e-8f9b-4b72-bb0c-c761b7d3774f','UId':'e9e7c6a0-266a-460b-9c7c-f9d56eba45ea','Col':5,'Row':2,'Format':'numberic','Value':' ','TargetCode':''}</v>
      </c>
    </row>
    <row r="216" ht="12.75">
      <c r="A216" t="str">
        <f>CONCATENATE("{'SheetId':'67b46b8e-8f9b-4b72-bb0c-c761b7d3774f'",",","'UId':'6d376d53-71b3-468a-a4db-6f1d390d75a6'",",'Col':",COLUMN(BCDanhMucDauTu_06118!F2),",'Row':",ROW(BCDanhMucDauTu_06118!F2),",","'Format':'numberic'",",'Value':'",SUBSTITUTE(BCDanhMucDauTu_06118!F2,"'","\'"),"','TargetCode':''}")</f>
        <v>{'SheetId':'67b46b8e-8f9b-4b72-bb0c-c761b7d3774f','UId':'6d376d53-71b3-468a-a4db-6f1d390d75a6','Col':6,'Row':2,'Format':'numberic','Value':' ','TargetCode':''}</v>
      </c>
    </row>
    <row r="217" ht="12.75">
      <c r="A217" t="str">
        <f>CONCATENATE("{'SheetId':'67b46b8e-8f9b-4b72-bb0c-c761b7d3774f'",",","'UId':'54f21929-d875-4c17-bed2-c819d7627486'",",'Col':",COLUMN(BCDanhMucDauTu_06118!G2),",'Row':",ROW(BCDanhMucDauTu_06118!G2),",","'Format':'numberic'",",'Value':'",SUBSTITUTE(BCDanhMucDauTu_06118!G2,"'","\'"),"','TargetCode':''}")</f>
        <v>{'SheetId':'67b46b8e-8f9b-4b72-bb0c-c761b7d3774f','UId':'54f21929-d875-4c17-bed2-c819d7627486','Col':7,'Row':2,'Format':'numberic','Value':' ','TargetCode':''}</v>
      </c>
    </row>
    <row r="218" ht="12.75">
      <c r="A218" t="str">
        <f>CONCATENATE("{'SheetId':'67b46b8e-8f9b-4b72-bb0c-c761b7d3774f'",",","'UId':'edbe9982-46a9-4f7f-9d65-a3e23ee2439a'",",'Col':",COLUMN(BCDanhMucDauTu_06118!A4),",'Row':",ROW(BCDanhMucDauTu_06118!A4),",","'ColDynamic':",COLUMN(BCDanhMucDauTu_06118!A3),",","'RowDynamic':",ROW(BCDanhMucDauTu_06118!A3),",","'Format':'numberic'",",'Value':'",SUBSTITUTE(BCDanhMucDauTu_06118!A4,"'","\'"),"','TargetCode':''}")</f>
        <v>{'SheetId':'67b46b8e-8f9b-4b72-bb0c-c761b7d3774f','UId':'edbe9982-46a9-4f7f-9d65-a3e23ee2439a','Col':1,'Row':4,'ColDynamic':1,'RowDynamic':3,'Format':'numberic','Value':' ','TargetCode':''}</v>
      </c>
    </row>
    <row r="219" ht="12.75">
      <c r="A219" t="str">
        <f>CONCATENATE("{'SheetId':'67b46b8e-8f9b-4b72-bb0c-c761b7d3774f'",",","'UId':'a9ec7624-7338-419b-aa1f-9776e90dbb01'",",'Col':",COLUMN(BCDanhMucDauTu_06118!B4),",'Row':",ROW(BCDanhMucDauTu_06118!B4),",","'ColDynamic':",COLUMN(BCDanhMucDauTu_06118!B3),",","'RowDynamic':",ROW(BCDanhMucDauTu_06118!B3),",","'Format':'string'",",'Value':'",SUBSTITUTE(BCDanhMucDauTu_06118!B4,"'","\'"),"','TargetCode':''}")</f>
        <v>{'SheetId':'67b46b8e-8f9b-4b72-bb0c-c761b7d3774f','UId':'a9ec7624-7338-419b-aa1f-9776e90dbb01','Col':2,'Row':4,'ColDynamic':2,'RowDynamic':3,'Format':'string','Value':'Tổng','TargetCode':''}</v>
      </c>
    </row>
    <row r="220" ht="12.75">
      <c r="A220" t="str">
        <f>CONCATENATE("{'SheetId':'67b46b8e-8f9b-4b72-bb0c-c761b7d3774f'",",","'UId':'15d1fc95-332a-4883-9e99-3f61f630d877'",",'Col':",COLUMN(BCDanhMucDauTu_06118!C4),",'Row':",ROW(BCDanhMucDauTu_06118!C4),",","'ColDynamic':",COLUMN(BCDanhMucDauTu_06118!C3),",","'RowDynamic':",ROW(BCDanhMucDauTu_06118!C3),",","'Format':'numberic'",",'Value':'",SUBSTITUTE(BCDanhMucDauTu_06118!C4,"'","\'"),"','TargetCode':''}")</f>
        <v>{'SheetId':'67b46b8e-8f9b-4b72-bb0c-c761b7d3774f','UId':'15d1fc95-332a-4883-9e99-3f61f630d877','Col':3,'Row':4,'ColDynamic':3,'RowDynamic':3,'Format':'numberic','Value':'22452','TargetCode':''}</v>
      </c>
    </row>
    <row r="221" ht="12.75">
      <c r="A221" t="str">
        <f>CONCATENATE("{'SheetId':'67b46b8e-8f9b-4b72-bb0c-c761b7d3774f'",",","'UId':'85a6dbe9-0322-45c5-a3cd-d2c06995fb05'",",'Col':",COLUMN(BCDanhMucDauTu_06118!D4),",'Row':",ROW(BCDanhMucDauTu_06118!D4),",","'ColDynamic':",COLUMN(BCDanhMucDauTu_06118!D3),",","'RowDynamic':",ROW(BCDanhMucDauTu_06118!D3),",","'Format':'numberic'",",'Value':'",SUBSTITUTE(BCDanhMucDauTu_06118!D4,"'","\'"),"','TargetCode':''}")</f>
        <v>{'SheetId':'67b46b8e-8f9b-4b72-bb0c-c761b7d3774f','UId':'85a6dbe9-0322-45c5-a3cd-d2c06995fb05','Col':4,'Row':4,'ColDynamic':4,'RowDynamic':3,'Format':'numberic','Value':' ','TargetCode':''}</v>
      </c>
    </row>
    <row r="222" ht="12.75">
      <c r="A222" t="str">
        <f>CONCATENATE("{'SheetId':'67b46b8e-8f9b-4b72-bb0c-c761b7d3774f'",",","'UId':'d88f0df0-e93c-405a-804f-3a098bfed831'",",'Col':",COLUMN(BCDanhMucDauTu_06118!E4),",'Row':",ROW(BCDanhMucDauTu_06118!E4),",","'ColDynamic':",COLUMN(BCDanhMucDauTu_06118!E3),",","'RowDynamic':",ROW(BCDanhMucDauTu_06118!E3),",","'Format':'numberic'",",'Value':'",SUBSTITUTE(BCDanhMucDauTu_06118!E4,"'","\'"),"','TargetCode':''}")</f>
        <v>{'SheetId':'67b46b8e-8f9b-4b72-bb0c-c761b7d3774f','UId':'d88f0df0-e93c-405a-804f-3a098bfed831','Col':5,'Row':4,'ColDynamic':5,'RowDynamic':3,'Format':'numberic','Value':' ','TargetCode':''}</v>
      </c>
    </row>
    <row r="223" ht="12.75">
      <c r="A223" t="str">
        <f>CONCATENATE("{'SheetId':'67b46b8e-8f9b-4b72-bb0c-c761b7d3774f'",",","'UId':'3e1b23b7-3696-4de9-9070-91e460e41383'",",'Col':",COLUMN(BCDanhMucDauTu_06118!F4),",'Row':",ROW(BCDanhMucDauTu_06118!F4),",","'ColDynamic':",COLUMN(BCDanhMucDauTu_06118!F3),",","'RowDynamic':",ROW(BCDanhMucDauTu_06118!F3),",","'Format':'numberic'",",'Value':'",SUBSTITUTE(BCDanhMucDauTu_06118!F4,"'","\'"),"','TargetCode':''}")</f>
        <v>{'SheetId':'67b46b8e-8f9b-4b72-bb0c-c761b7d3774f','UId':'3e1b23b7-3696-4de9-9070-91e460e41383','Col':6,'Row':4,'ColDynamic':6,'RowDynamic':3,'Format':'numberic','Value':' ','TargetCode':''}</v>
      </c>
    </row>
    <row r="224" ht="12.75">
      <c r="A224" t="str">
        <f>CONCATENATE("{'SheetId':'67b46b8e-8f9b-4b72-bb0c-c761b7d3774f'",",","'UId':'6077100b-9076-4b68-85d9-525484f7e297'",",'Col':",COLUMN(BCDanhMucDauTu_06118!G4),",'Row':",ROW(BCDanhMucDauTu_06118!G4),",","'ColDynamic':",COLUMN(BCDanhMucDauTu_06118!G3),",","'RowDynamic':",ROW(BCDanhMucDauTu_06118!G3),",","'Format':'numberic'",",'Value':'",SUBSTITUTE(BCDanhMucDauTu_06118!G4,"'","\'"),"','TargetCode':''}")</f>
        <v>{'SheetId':'67b46b8e-8f9b-4b72-bb0c-c761b7d3774f','UId':'6077100b-9076-4b68-85d9-525484f7e297','Col':7,'Row':4,'ColDynamic':7,'RowDynamic':3,'Format':'numberic','Value':' ','TargetCode':''}</v>
      </c>
    </row>
    <row r="225" ht="12.75">
      <c r="A225" t="str">
        <f>CONCATENATE("{'SheetId':'67b46b8e-8f9b-4b72-bb0c-c761b7d3774f'",",","'UId':'c013891e-8ca1-4f2e-b0e2-2e334faac2e6'",",'Col':",COLUMN(BCDanhMucDauTu_06118!D5),",'Row':",ROW(BCDanhMucDauTu_06118!D5),",","'Format':'numberic'",",'Value':'",SUBSTITUTE(BCDanhMucDauTu_06118!D5,"'","\'"),"','TargetCode':''}")</f>
        <v>{'SheetId':'67b46b8e-8f9b-4b72-bb0c-c761b7d3774f','UId':'c013891e-8ca1-4f2e-b0e2-2e334faac2e6','Col':4,'Row':5,'Format':'numberic','Value':' ','TargetCode':''}</v>
      </c>
    </row>
    <row r="226" ht="12.75">
      <c r="A226" t="str">
        <f>CONCATENATE("{'SheetId':'67b46b8e-8f9b-4b72-bb0c-c761b7d3774f'",",","'UId':'d68944b0-5a51-4299-9b64-e8d19192a380'",",'Col':",COLUMN(BCDanhMucDauTu_06118!E5),",'Row':",ROW(BCDanhMucDauTu_06118!E5),",","'Format':'numberic'",",'Value':'",SUBSTITUTE(BCDanhMucDauTu_06118!E5,"'","\'"),"','TargetCode':''}")</f>
        <v>{'SheetId':'67b46b8e-8f9b-4b72-bb0c-c761b7d3774f','UId':'d68944b0-5a51-4299-9b64-e8d19192a380','Col':5,'Row':5,'Format':'numberic','Value':' ','TargetCode':''}</v>
      </c>
    </row>
    <row r="227" ht="12.75">
      <c r="A227" t="str">
        <f>CONCATENATE("{'SheetId':'67b46b8e-8f9b-4b72-bb0c-c761b7d3774f'",",","'UId':'7cf315fb-1135-44d2-be82-0cc3b6c2c467'",",'Col':",COLUMN(BCDanhMucDauTu_06118!F5),",'Row':",ROW(BCDanhMucDauTu_06118!F5),",","'Format':'numberic'",",'Value':'",SUBSTITUTE(BCDanhMucDauTu_06118!F5,"'","\'"),"','TargetCode':''}")</f>
        <v>{'SheetId':'67b46b8e-8f9b-4b72-bb0c-c761b7d3774f','UId':'7cf315fb-1135-44d2-be82-0cc3b6c2c467','Col':6,'Row':5,'Format':'numberic','Value':' ','TargetCode':''}</v>
      </c>
    </row>
    <row r="228" ht="12.75">
      <c r="A228" t="str">
        <f>CONCATENATE("{'SheetId':'67b46b8e-8f9b-4b72-bb0c-c761b7d3774f'",",","'UId':'8c4be4d7-dc06-4920-ad3b-e462b3a56605'",",'Col':",COLUMN(BCDanhMucDauTu_06118!G5),",'Row':",ROW(BCDanhMucDauTu_06118!G5),",","'Format':'numberic'",",'Value':'",SUBSTITUTE(BCDanhMucDauTu_06118!G5,"'","\'"),"','TargetCode':''}")</f>
        <v>{'SheetId':'67b46b8e-8f9b-4b72-bb0c-c761b7d3774f','UId':'8c4be4d7-dc06-4920-ad3b-e462b3a56605','Col':7,'Row':5,'Format':'numberic','Value':' ','TargetCode':''}</v>
      </c>
    </row>
    <row r="229" ht="12.75">
      <c r="A229" t="str">
        <f>CONCATENATE("{'SheetId':'67b46b8e-8f9b-4b72-bb0c-c761b7d3774f'",",","'UId':'909c14d4-418f-4fe6-ba78-f3cc30bbf1af'",",'Col':",COLUMN(BCDanhMucDauTu_06118!A22),",'Row':",ROW(BCDanhMucDauTu_06118!A22),",","'ColDynamic':",COLUMN(BCDanhMucDauTu_06118!A22),",","'RowDynamic':",ROW(BCDanhMucDauTu_06118!A22),",","'Format':'numberic'",",'Value':'",SUBSTITUTE(BCDanhMucDauTu_06118!A22,"'","\'"),"','TargetCode':''}")</f>
        <v>{'SheetId':'67b46b8e-8f9b-4b72-bb0c-c761b7d3774f','UId':'909c14d4-418f-4fe6-ba78-f3cc30bbf1af','Col':1,'Row':22,'ColDynamic':1,'RowDynamic':22,'Format':'numberic','Value':' ','TargetCode':''}</v>
      </c>
    </row>
    <row r="230" ht="12.75">
      <c r="A230" t="str">
        <f>CONCATENATE("{'SheetId':'67b46b8e-8f9b-4b72-bb0c-c761b7d3774f'",",","'UId':'7c04cb71-2274-4d6c-aad2-e9896a0cf1a0'",",'Col':",COLUMN(BCDanhMucDauTu_06118!B22),",'Row':",ROW(BCDanhMucDauTu_06118!B22),",","'ColDynamic':",COLUMN(BCDanhMucDauTu_06118!B22),",","'RowDynamic':",ROW(BCDanhMucDauTu_06118!B22),",","'Format':'string'",",'Value':'",SUBSTITUTE(BCDanhMucDauTu_06118!B22,"'","\'"),"','TargetCode':''}")</f>
        <v>{'SheetId':'67b46b8e-8f9b-4b72-bb0c-c761b7d3774f','UId':'7c04cb71-2274-4d6c-aad2-e9896a0cf1a0','Col':2,'Row':22,'ColDynamic':2,'RowDynamic':22,'Format':'string','Value':'Tổng','TargetCode':''}</v>
      </c>
    </row>
    <row r="231" ht="12.75">
      <c r="A231" t="str">
        <f>CONCATENATE("{'SheetId':'67b46b8e-8f9b-4b72-bb0c-c761b7d3774f'",",","'UId':'5aaf77a7-c601-42ce-8c20-f284e370864b'",",'Col':",COLUMN(BCDanhMucDauTu_06118!C22),",'Row':",ROW(BCDanhMucDauTu_06118!C22),",","'ColDynamic':",COLUMN(BCDanhMucDauTu_06118!C22),",","'RowDynamic':",ROW(BCDanhMucDauTu_06118!C22),",","'Format':'numberic'",",'Value':'",SUBSTITUTE(BCDanhMucDauTu_06118!C22,"'","\'"),"','TargetCode':''}")</f>
        <v>{'SheetId':'67b46b8e-8f9b-4b72-bb0c-c761b7d3774f','UId':'5aaf77a7-c601-42ce-8c20-f284e370864b','Col':3,'Row':22,'ColDynamic':3,'RowDynamic':22,'Format':'numberic','Value':'2247','TargetCode':''}</v>
      </c>
    </row>
    <row r="232" ht="12.75">
      <c r="A232" t="str">
        <f>CONCATENATE("{'SheetId':'67b46b8e-8f9b-4b72-bb0c-c761b7d3774f'",",","'UId':'3c4aeab7-2943-4c67-813d-bb3220bb9f82'",",'Col':",COLUMN(BCDanhMucDauTu_06118!D22),",'Row':",ROW(BCDanhMucDauTu_06118!D22),",","'ColDynamic':",COLUMN(BCDanhMucDauTu_06118!D22),",","'RowDynamic':",ROW(BCDanhMucDauTu_06118!D22),",","'Format':'numberic'",",'Value':'",SUBSTITUTE(BCDanhMucDauTu_06118!D22,"'","\'"),"','TargetCode':''}")</f>
        <v>{'SheetId':'67b46b8e-8f9b-4b72-bb0c-c761b7d3774f','UId':'3c4aeab7-2943-4c67-813d-bb3220bb9f82','Col':4,'Row':22,'ColDynamic':4,'RowDynamic':22,'Format':'numberic','Value':'956340','TargetCode':''}</v>
      </c>
    </row>
    <row r="233" ht="12.75">
      <c r="A233" t="str">
        <f>CONCATENATE("{'SheetId':'67b46b8e-8f9b-4b72-bb0c-c761b7d3774f'",",","'UId':'c1fea7bf-fa93-4222-bac6-9c6270d7e342'",",'Col':",COLUMN(BCDanhMucDauTu_06118!E22),",'Row':",ROW(BCDanhMucDauTu_06118!E22),",","'ColDynamic':",COLUMN(BCDanhMucDauTu_06118!E22),",","'RowDynamic':",ROW(BCDanhMucDauTu_06118!E22),",","'Format':'numberic'",",'Value':'",SUBSTITUTE(BCDanhMucDauTu_06118!E22,"'","\'"),"','TargetCode':''}")</f>
        <v>{'SheetId':'67b46b8e-8f9b-4b72-bb0c-c761b7d3774f','UId':'c1fea7bf-fa93-4222-bac6-9c6270d7e342','Col':5,'Row':22,'ColDynamic':5,'RowDynamic':22,'Format':'numberic','Value':'','TargetCode':''}</v>
      </c>
    </row>
    <row r="234" ht="12.75">
      <c r="A234" t="str">
        <f>CONCATENATE("{'SheetId':'67b46b8e-8f9b-4b72-bb0c-c761b7d3774f'",",","'UId':'7e8c5862-097e-408b-a7d3-eb833a539b90'",",'Col':",COLUMN(BCDanhMucDauTu_06118!F22),",'Row':",ROW(BCDanhMucDauTu_06118!F22),",","'ColDynamic':",COLUMN(BCDanhMucDauTu_06118!F22),",","'RowDynamic':",ROW(BCDanhMucDauTu_06118!F22),",","'Format':'numberic'",",'Value':'",SUBSTITUTE(BCDanhMucDauTu_06118!F22,"'","\'"),"','TargetCode':''}")</f>
        <v>{'SheetId':'67b46b8e-8f9b-4b72-bb0c-c761b7d3774f','UId':'7e8c5862-097e-408b-a7d3-eb833a539b90','Col':6,'Row':22,'ColDynamic':6,'RowDynamic':22,'Format':'numberic','Value':'41500231000','TargetCode':''}</v>
      </c>
    </row>
    <row r="235" ht="12.75">
      <c r="A235" t="str">
        <f>CONCATENATE("{'SheetId':'67b46b8e-8f9b-4b72-bb0c-c761b7d3774f'",",","'UId':'40abfc6e-cf0b-4032-a86e-f277b36863c2'",",'Col':",COLUMN(BCDanhMucDauTu_06118!G22),",'Row':",ROW(BCDanhMucDauTu_06118!G22),",","'ColDynamic':",COLUMN(BCDanhMucDauTu_06118!G6),",","'RowDynamic':",ROW(BCDanhMucDauTu_06118!G6),",","'Format':'numberic'",",'Value':'",SUBSTITUTE(BCDanhMucDauTu_06118!G22,"'","\'"),"','TargetCode':''}")</f>
        <v>{'SheetId':'67b46b8e-8f9b-4b72-bb0c-c761b7d3774f','UId':'40abfc6e-cf0b-4032-a86e-f277b36863c2','Col':7,'Row':22,'ColDynamic':7,'RowDynamic':6,'Format':'numberic','Value':'0.904117726230223','TargetCode':''}</v>
      </c>
    </row>
    <row r="236" ht="12.75">
      <c r="A236" t="str">
        <f>CONCATENATE("{'SheetId':'67b46b8e-8f9b-4b72-bb0c-c761b7d3774f'",",","'UId':'d375f948-86c5-437c-a5d7-4daa8f78828c'",",'Col':",COLUMN(BCDanhMucDauTu_06118!D23),",'Row':",ROW(BCDanhMucDauTu_06118!D23),",","'Format':'numberic'",",'Value':'",SUBSTITUTE(BCDanhMucDauTu_06118!D23,"'","\'"),"','TargetCode':''}")</f>
        <v>{'SheetId':'67b46b8e-8f9b-4b72-bb0c-c761b7d3774f','UId':'d375f948-86c5-437c-a5d7-4daa8f78828c','Col':4,'Row':23,'Format':'numberic','Value':' ','TargetCode':''}</v>
      </c>
    </row>
    <row r="237" ht="12.75">
      <c r="A237" t="str">
        <f>CONCATENATE("{'SheetId':'67b46b8e-8f9b-4b72-bb0c-c761b7d3774f'",",","'UId':'189a912b-e577-4535-83af-ecaf75016720'",",'Col':",COLUMN(BCDanhMucDauTu_06118!E23),",'Row':",ROW(BCDanhMucDauTu_06118!E23),",","'Format':'numberic'",",'Value':'",SUBSTITUTE(BCDanhMucDauTu_06118!E23,"'","\'"),"','TargetCode':''}")</f>
        <v>{'SheetId':'67b46b8e-8f9b-4b72-bb0c-c761b7d3774f','UId':'189a912b-e577-4535-83af-ecaf75016720','Col':5,'Row':23,'Format':'numberic','Value':' ','TargetCode':''}</v>
      </c>
    </row>
    <row r="238" ht="12.75">
      <c r="A238" t="str">
        <f>CONCATENATE("{'SheetId':'67b46b8e-8f9b-4b72-bb0c-c761b7d3774f'",",","'UId':'f3d800a6-44c8-49a7-a049-8c8ea92a5bd4'",",'Col':",COLUMN(BCDanhMucDauTu_06118!F23),",'Row':",ROW(BCDanhMucDauTu_06118!F23),",","'Format':'numberic'",",'Value':'",SUBSTITUTE(BCDanhMucDauTu_06118!F23,"'","\'"),"','TargetCode':''}")</f>
        <v>{'SheetId':'67b46b8e-8f9b-4b72-bb0c-c761b7d3774f','UId':'f3d800a6-44c8-49a7-a049-8c8ea92a5bd4','Col':6,'Row':23,'Format':'numberic','Value':' ','TargetCode':''}</v>
      </c>
    </row>
    <row r="239" ht="12.75">
      <c r="A239" t="str">
        <f>CONCATENATE("{'SheetId':'67b46b8e-8f9b-4b72-bb0c-c761b7d3774f'",",","'UId':'58b4a165-c059-4a43-b148-b9d31e3598b2'",",'Col':",COLUMN(BCDanhMucDauTu_06118!G23),",'Row':",ROW(BCDanhMucDauTu_06118!G23),",","'Format':'numberic'",",'Value':'",SUBSTITUTE(BCDanhMucDauTu_06118!G23,"'","\'"),"','TargetCode':''}")</f>
        <v>{'SheetId':'67b46b8e-8f9b-4b72-bb0c-c761b7d3774f','UId':'58b4a165-c059-4a43-b148-b9d31e3598b2','Col':7,'Row':23,'Format':'numberic','Value':' ','TargetCode':''}</v>
      </c>
    </row>
    <row r="240" ht="12.75">
      <c r="A240" t="str">
        <f>CONCATENATE("{'SheetId':'67b46b8e-8f9b-4b72-bb0c-c761b7d3774f'",",","'UId':'53d5ac23-053a-4fac-8e38-84b86dadba1a'",",'Col':",COLUMN(BCDanhMucDauTu_06118!A25),",'Row':",ROW(BCDanhMucDauTu_06118!A25),",","'ColDynamic':",COLUMN(BCDanhMucDauTu_06118!A26),",","'RowDynamic':",ROW(BCDanhMucDauTu_06118!A26),",","'Format':'numberic'",",'Value':'",SUBSTITUTE(BCDanhMucDauTu_06118!A25,"'","\'"),"','TargetCode':''}")</f>
        <v>{'SheetId':'67b46b8e-8f9b-4b72-bb0c-c761b7d3774f','UId':'53d5ac23-053a-4fac-8e38-84b86dadba1a','Col':1,'Row':25,'ColDynamic':1,'RowDynamic':26,'Format':'numberic','Value':' ','TargetCode':''}</v>
      </c>
    </row>
    <row r="241" ht="12.75">
      <c r="A241" t="str">
        <f>CONCATENATE("{'SheetId':'67b46b8e-8f9b-4b72-bb0c-c761b7d3774f'",",","'UId':'91122e37-15f5-4963-ae29-e5271597d35e'",",'Col':",COLUMN(BCDanhMucDauTu_06118!B25),",'Row':",ROW(BCDanhMucDauTu_06118!B25),",","'ColDynamic':",COLUMN(BCDanhMucDauTu_06118!B26),",","'RowDynamic':",ROW(BCDanhMucDauTu_06118!B26),",","'Format':'string'",",'Value':'",SUBSTITUTE(BCDanhMucDauTu_06118!B25,"'","\'"),"','TargetCode':''}")</f>
        <v>{'SheetId':'67b46b8e-8f9b-4b72-bb0c-c761b7d3774f','UId':'91122e37-15f5-4963-ae29-e5271597d35e','Col':2,'Row':25,'ColDynamic':2,'RowDynamic':26,'Format':'string','Value':'Tổng','TargetCode':''}</v>
      </c>
    </row>
    <row r="242" ht="12.75">
      <c r="A242" t="str">
        <f>CONCATENATE("{'SheetId':'67b46b8e-8f9b-4b72-bb0c-c761b7d3774f'",",","'UId':'7e980fb8-4415-4638-bcdc-86b6eceaa3c6'",",'Col':",COLUMN(BCDanhMucDauTu_06118!C25),",'Row':",ROW(BCDanhMucDauTu_06118!C25),",","'ColDynamic':",COLUMN(BCDanhMucDauTu_06118!C26),",","'RowDynamic':",ROW(BCDanhMucDauTu_06118!C26),",","'Format':'numberic'",",'Value':'",SUBSTITUTE(BCDanhMucDauTu_06118!C25,"'","\'"),"','TargetCode':''}")</f>
        <v>{'SheetId':'67b46b8e-8f9b-4b72-bb0c-c761b7d3774f','UId':'7e980fb8-4415-4638-bcdc-86b6eceaa3c6','Col':3,'Row':25,'ColDynamic':3,'RowDynamic':26,'Format':'numberic','Value':'2249','TargetCode':''}</v>
      </c>
    </row>
    <row r="243" ht="12.75">
      <c r="A243" t="str">
        <f>CONCATENATE("{'SheetId':'67b46b8e-8f9b-4b72-bb0c-c761b7d3774f'",",","'UId':'857485a5-83f1-4cb7-916e-86082255b7ab'",",'Col':",COLUMN(BCDanhMucDauTu_06118!D25),",'Row':",ROW(BCDanhMucDauTu_06118!D25),",","'ColDynamic':",COLUMN(BCDanhMucDauTu_06118!D26),",","'RowDynamic':",ROW(BCDanhMucDauTu_06118!D26),",","'Format':'numberic'",",'Value':'",SUBSTITUTE(BCDanhMucDauTu_06118!D25,"'","\'"),"','TargetCode':''}")</f>
        <v>{'SheetId':'67b46b8e-8f9b-4b72-bb0c-c761b7d3774f','UId':'857485a5-83f1-4cb7-916e-86082255b7ab','Col':4,'Row':25,'ColDynamic':4,'RowDynamic':26,'Format':'numberic','Value':' ','TargetCode':''}</v>
      </c>
    </row>
    <row r="244" ht="12.75">
      <c r="A244" t="str">
        <f>CONCATENATE("{'SheetId':'67b46b8e-8f9b-4b72-bb0c-c761b7d3774f'",",","'UId':'0b58a205-febf-45d4-9d6b-f0b4c1829117'",",'Col':",COLUMN(BCDanhMucDauTu_06118!E25),",'Row':",ROW(BCDanhMucDauTu_06118!E25),",","'ColDynamic':",COLUMN(BCDanhMucDauTu_06118!E26),",","'RowDynamic':",ROW(BCDanhMucDauTu_06118!E26),",","'Format':'numberic'",",'Value':'",SUBSTITUTE(BCDanhMucDauTu_06118!E25,"'","\'"),"','TargetCode':''}")</f>
        <v>{'SheetId':'67b46b8e-8f9b-4b72-bb0c-c761b7d3774f','UId':'0b58a205-febf-45d4-9d6b-f0b4c1829117','Col':5,'Row':25,'ColDynamic':5,'RowDynamic':26,'Format':'numberic','Value':' ','TargetCode':''}</v>
      </c>
    </row>
    <row r="245" ht="12.75">
      <c r="A245" t="str">
        <f>CONCATENATE("{'SheetId':'67b46b8e-8f9b-4b72-bb0c-c761b7d3774f'",",","'UId':'cd160ace-1570-4bd2-83c2-e03b3a62fd73'",",'Col':",COLUMN(BCDanhMucDauTu_06118!F25),",'Row':",ROW(BCDanhMucDauTu_06118!F25),",","'ColDynamic':",COLUMN(BCDanhMucDauTu_06118!F26),",","'RowDynamic':",ROW(BCDanhMucDauTu_06118!F26),",","'Format':'numberic'",",'Value':'",SUBSTITUTE(BCDanhMucDauTu_06118!F25,"'","\'"),"','TargetCode':''}")</f>
        <v>{'SheetId':'67b46b8e-8f9b-4b72-bb0c-c761b7d3774f','UId':'cd160ace-1570-4bd2-83c2-e03b3a62fd73','Col':6,'Row':25,'ColDynamic':6,'RowDynamic':26,'Format':'numberic','Value':' ','TargetCode':''}</v>
      </c>
    </row>
    <row r="246" ht="12.75">
      <c r="A246" t="str">
        <f>CONCATENATE("{'SheetId':'67b46b8e-8f9b-4b72-bb0c-c761b7d3774f'",",","'UId':'301e9bee-938e-453c-a430-d79788ced4ff'",",'Col':",COLUMN(BCDanhMucDauTu_06118!G25),",'Row':",ROW(BCDanhMucDauTu_06118!G25),",","'ColDynamic':",COLUMN(BCDanhMucDauTu_06118!G24),",","'RowDynamic':",ROW(BCDanhMucDauTu_06118!G24),",","'Format':'numberic'",",'Value':'",SUBSTITUTE(BCDanhMucDauTu_06118!G25,"'","\'"),"','TargetCode':''}")</f>
        <v>{'SheetId':'67b46b8e-8f9b-4b72-bb0c-c761b7d3774f','UId':'301e9bee-938e-453c-a430-d79788ced4ff','Col':7,'Row':25,'ColDynamic':7,'RowDynamic':24,'Format':'numberic','Value':' ','TargetCode':''}</v>
      </c>
    </row>
    <row r="247" ht="12.75">
      <c r="A247" t="str">
        <f>CONCATENATE("{'SheetId':'67b46b8e-8f9b-4b72-bb0c-c761b7d3774f'",",","'UId':'5d33e08d-9f94-462e-ad86-33c206308f5d'",",'Col':",COLUMN(BCDanhMucDauTu_06118!D26),",'Row':",ROW(BCDanhMucDauTu_06118!D26),",","'Format':'numberic'",",'Value':'",SUBSTITUTE(BCDanhMucDauTu_06118!D26,"'","\'"),"','TargetCode':''}")</f>
        <v>{'SheetId':'67b46b8e-8f9b-4b72-bb0c-c761b7d3774f','UId':'5d33e08d-9f94-462e-ad86-33c206308f5d','Col':4,'Row':26,'Format':'numberic','Value':' ','TargetCode':''}</v>
      </c>
    </row>
    <row r="248" ht="12.75">
      <c r="A248" t="str">
        <f>CONCATENATE("{'SheetId':'67b46b8e-8f9b-4b72-bb0c-c761b7d3774f'",",","'UId':'5a1d99ac-4046-4829-bb38-dce3aba056f8'",",'Col':",COLUMN(BCDanhMucDauTu_06118!E26),",'Row':",ROW(BCDanhMucDauTu_06118!E26),",","'Format':'numberic'",",'Value':'",SUBSTITUTE(BCDanhMucDauTu_06118!E26,"'","\'"),"','TargetCode':''}")</f>
        <v>{'SheetId':'67b46b8e-8f9b-4b72-bb0c-c761b7d3774f','UId':'5a1d99ac-4046-4829-bb38-dce3aba056f8','Col':5,'Row':26,'Format':'numberic','Value':' ','TargetCode':''}</v>
      </c>
    </row>
    <row r="249" ht="12.75">
      <c r="A249" t="str">
        <f>CONCATENATE("{'SheetId':'67b46b8e-8f9b-4b72-bb0c-c761b7d3774f'",",","'UId':'82c5dee3-0b15-4712-a224-109e2a9593e7'",",'Col':",COLUMN(BCDanhMucDauTu_06118!F26),",'Row':",ROW(BCDanhMucDauTu_06118!F26),",","'Format':'numberic'",",'Value':'",SUBSTITUTE(BCDanhMucDauTu_06118!F26,"'","\'"),"','TargetCode':''}")</f>
        <v>{'SheetId':'67b46b8e-8f9b-4b72-bb0c-c761b7d3774f','UId':'82c5dee3-0b15-4712-a224-109e2a9593e7','Col':6,'Row':26,'Format':'numberic','Value':' ','TargetCode':''}</v>
      </c>
    </row>
    <row r="250" ht="12.75">
      <c r="A250" t="str">
        <f>CONCATENATE("{'SheetId':'67b46b8e-8f9b-4b72-bb0c-c761b7d3774f'",",","'UId':'e5432a41-2e98-438d-afa5-4e4ca5e713d2'",",'Col':",COLUMN(BCDanhMucDauTu_06118!G26),",'Row':",ROW(BCDanhMucDauTu_06118!G26),",","'Format':'numberic'",",'Value':'",SUBSTITUTE(BCDanhMucDauTu_06118!G26,"'","\'"),"','TargetCode':''}")</f>
        <v>{'SheetId':'67b46b8e-8f9b-4b72-bb0c-c761b7d3774f','UId':'e5432a41-2e98-438d-afa5-4e4ca5e713d2','Col':7,'Row':26,'Format':'numberic','Value':' ','TargetCode':''}</v>
      </c>
    </row>
    <row r="251" ht="12.75">
      <c r="A251" t="str">
        <f>CONCATENATE("{'SheetId':'67b46b8e-8f9b-4b72-bb0c-c761b7d3774f'",",","'UId':'5056b429-a712-4f9b-af4a-b1c775a4197b'",",'Col':",COLUMN(BCDanhMucDauTu_06118!A28),",'Row':",ROW(BCDanhMucDauTu_06118!A28),",","'ColDynamic':",COLUMN(BCDanhMucDauTu_06118!A32),",","'RowDynamic':",ROW(BCDanhMucDauTu_06118!A32),",","'Format':'numberic'",",'Value':'",SUBSTITUTE(BCDanhMucDauTu_06118!A28,"'","\'"),"','TargetCode':''}")</f>
        <v>{'SheetId':'67b46b8e-8f9b-4b72-bb0c-c761b7d3774f','UId':'5056b429-a712-4f9b-af4a-b1c775a4197b','Col':1,'Row':28,'ColDynamic':1,'RowDynamic':32,'Format':'numberic','Value':' ','TargetCode':''}</v>
      </c>
    </row>
    <row r="252" ht="12.75">
      <c r="A252" t="str">
        <f>CONCATENATE("{'SheetId':'67b46b8e-8f9b-4b72-bb0c-c761b7d3774f'",",","'UId':'204a8849-ed6b-48a6-8451-3af74f33b46b'",",'Col':",COLUMN(BCDanhMucDauTu_06118!B28),",'Row':",ROW(BCDanhMucDauTu_06118!B28),",","'ColDynamic':",COLUMN(BCDanhMucDauTu_06118!B32),",","'RowDynamic':",ROW(BCDanhMucDauTu_06118!B32),",","'Format':'string'",",'Value':'",SUBSTITUTE(BCDanhMucDauTu_06118!B28,"'","\'"),"','TargetCode':''}")</f>
        <v>{'SheetId':'67b46b8e-8f9b-4b72-bb0c-c761b7d3774f','UId':'204a8849-ed6b-48a6-8451-3af74f33b46b','Col':2,'Row':28,'ColDynamic':2,'RowDynamic':32,'Format':'string','Value':'Tổng','TargetCode':''}</v>
      </c>
    </row>
    <row r="253" ht="12.75">
      <c r="A253" t="str">
        <f>CONCATENATE("{'SheetId':'67b46b8e-8f9b-4b72-bb0c-c761b7d3774f'",",","'UId':'e03e5067-5fdf-4765-aa29-769841dbfe5b'",",'Col':",COLUMN(BCDanhMucDauTu_06118!C28),",'Row':",ROW(BCDanhMucDauTu_06118!C28),",","'ColDynamic':",COLUMN(BCDanhMucDauTu_06118!C32),",","'RowDynamic':",ROW(BCDanhMucDauTu_06118!C32),",","'Format':'numberic'",",'Value':'",SUBSTITUTE(BCDanhMucDauTu_06118!C28,"'","\'"),"','TargetCode':''}")</f>
        <v>{'SheetId':'67b46b8e-8f9b-4b72-bb0c-c761b7d3774f','UId':'e03e5067-5fdf-4765-aa29-769841dbfe5b','Col':3,'Row':28,'ColDynamic':3,'RowDynamic':32,'Format':'numberic','Value':'2252','TargetCode':''}</v>
      </c>
    </row>
    <row r="254" ht="12.75">
      <c r="A254" t="str">
        <f>CONCATENATE("{'SheetId':'67b46b8e-8f9b-4b72-bb0c-c761b7d3774f'",",","'UId':'8d60e85b-e4c7-405f-a833-8a3fa51e9dd7'",",'Col':",COLUMN(BCDanhMucDauTu_06118!D28),",'Row':",ROW(BCDanhMucDauTu_06118!D28),",","'ColDynamic':",COLUMN(BCDanhMucDauTu_06118!D32),",","'RowDynamic':",ROW(BCDanhMucDauTu_06118!D32),",","'Format':'numberic'",",'Value':'",SUBSTITUTE(BCDanhMucDauTu_06118!D28,"'","\'"),"','TargetCode':''}")</f>
        <v>{'SheetId':'67b46b8e-8f9b-4b72-bb0c-c761b7d3774f','UId':'8d60e85b-e4c7-405f-a833-8a3fa51e9dd7','Col':4,'Row':28,'ColDynamic':4,'RowDynamic':32,'Format':'numberic','Value':'','TargetCode':''}</v>
      </c>
    </row>
    <row r="255" ht="12.75">
      <c r="A255" t="str">
        <f>CONCATENATE("{'SheetId':'67b46b8e-8f9b-4b72-bb0c-c761b7d3774f'",",","'UId':'e9abb875-b13a-4d12-a237-cc3f7de15c2e'",",'Col':",COLUMN(BCDanhMucDauTu_06118!E28),",'Row':",ROW(BCDanhMucDauTu_06118!E28),",","'ColDynamic':",COLUMN(BCDanhMucDauTu_06118!E32),",","'RowDynamic':",ROW(BCDanhMucDauTu_06118!E32),",","'Format':'numberic'",",'Value':'",SUBSTITUTE(BCDanhMucDauTu_06118!E28,"'","\'"),"','TargetCode':''}")</f>
        <v>{'SheetId':'67b46b8e-8f9b-4b72-bb0c-c761b7d3774f','UId':'e9abb875-b13a-4d12-a237-cc3f7de15c2e','Col':5,'Row':28,'ColDynamic':5,'RowDynamic':32,'Format':'numberic','Value':'','TargetCode':''}</v>
      </c>
    </row>
    <row r="256" ht="12.75">
      <c r="A256" t="str">
        <f>CONCATENATE("{'SheetId':'67b46b8e-8f9b-4b72-bb0c-c761b7d3774f'",",","'UId':'8edcf307-1ae9-40c1-b85a-903402813659'",",'Col':",COLUMN(BCDanhMucDauTu_06118!F28),",'Row':",ROW(BCDanhMucDauTu_06118!F28),",","'ColDynamic':",COLUMN(BCDanhMucDauTu_06118!F32),",","'RowDynamic':",ROW(BCDanhMucDauTu_06118!F32),",","'Format':'numberic'",",'Value':'",SUBSTITUTE(BCDanhMucDauTu_06118!F28,"'","\'"),"','TargetCode':''}")</f>
        <v>{'SheetId':'67b46b8e-8f9b-4b72-bb0c-c761b7d3774f','UId':'8edcf307-1ae9-40c1-b85a-903402813659','Col':6,'Row':28,'ColDynamic':6,'RowDynamic':32,'Format':'numberic','Value':'','TargetCode':''}</v>
      </c>
    </row>
    <row r="257" ht="12.75">
      <c r="A257" t="str">
        <f>CONCATENATE("{'SheetId':'67b46b8e-8f9b-4b72-bb0c-c761b7d3774f'",",","'UId':'df030055-a94d-4493-8f38-705191e5fdd9'",",'Col':",COLUMN(BCDanhMucDauTu_06118!G28),",'Row':",ROW(BCDanhMucDauTu_06118!G28),",","'ColDynamic':",COLUMN(BCDanhMucDauTu_06118!G27),",","'RowDynamic':",ROW(BCDanhMucDauTu_06118!G27),",","'Format':'numberic'",",'Value':'",SUBSTITUTE(BCDanhMucDauTu_06118!G28,"'","\'"),"','TargetCode':''}")</f>
        <v>{'SheetId':'67b46b8e-8f9b-4b72-bb0c-c761b7d3774f','UId':'df030055-a94d-4493-8f38-705191e5fdd9','Col':7,'Row':28,'ColDynamic':7,'RowDynamic':27,'Format':'numberic','Value':'','TargetCode':''}</v>
      </c>
    </row>
    <row r="258" ht="12.75">
      <c r="A258" t="str">
        <f>CONCATENATE("{'SheetId':'67b46b8e-8f9b-4b72-bb0c-c761b7d3774f'",",","'UId':'b6dcfedf-67f4-4358-8c08-01cb263bd48d'",",'Col':",COLUMN(BCDanhMucDauTu_06118!D29),",'Row':",ROW(BCDanhMucDauTu_06118!D29),",","'Format':'numberic'",",'Value':'",SUBSTITUTE(BCDanhMucDauTu_06118!D29,"'","\'"),"','TargetCode':''}")</f>
        <v>{'SheetId':'67b46b8e-8f9b-4b72-bb0c-c761b7d3774f','UId':'b6dcfedf-67f4-4358-8c08-01cb263bd48d','Col':4,'Row':29,'Format':'numberic','Value':' ','TargetCode':''}</v>
      </c>
    </row>
    <row r="259" ht="12.75">
      <c r="A259" t="str">
        <f>CONCATENATE("{'SheetId':'67b46b8e-8f9b-4b72-bb0c-c761b7d3774f'",",","'UId':'14426079-47be-481c-91ca-9fdc38ee13bb'",",'Col':",COLUMN(BCDanhMucDauTu_06118!E29),",'Row':",ROW(BCDanhMucDauTu_06118!E29),",","'Format':'numberic'",",'Value':'",SUBSTITUTE(BCDanhMucDauTu_06118!E29,"'","\'"),"','TargetCode':''}")</f>
        <v>{'SheetId':'67b46b8e-8f9b-4b72-bb0c-c761b7d3774f','UId':'14426079-47be-481c-91ca-9fdc38ee13bb','Col':5,'Row':29,'Format':'numberic','Value':' ','TargetCode':''}</v>
      </c>
    </row>
    <row r="260" ht="12.75">
      <c r="A260" t="str">
        <f>CONCATENATE("{'SheetId':'67b46b8e-8f9b-4b72-bb0c-c761b7d3774f'",",","'UId':'ebf14dca-994a-45aa-be97-42104b044d75'",",'Col':",COLUMN(BCDanhMucDauTu_06118!F29),",'Row':",ROW(BCDanhMucDauTu_06118!F29),",","'Format':'numberic'",",'Value':'",SUBSTITUTE(BCDanhMucDauTu_06118!F29,"'","\'"),"','TargetCode':''}")</f>
        <v>{'SheetId':'67b46b8e-8f9b-4b72-bb0c-c761b7d3774f','UId':'ebf14dca-994a-45aa-be97-42104b044d75','Col':6,'Row':29,'Format':'numberic','Value':' ','TargetCode':''}</v>
      </c>
    </row>
    <row r="261" ht="12.75">
      <c r="A261" t="str">
        <f>CONCATENATE("{'SheetId':'67b46b8e-8f9b-4b72-bb0c-c761b7d3774f'",",","'UId':'4aa96fbd-3555-405a-8558-3106f0623231'",",'Col':",COLUMN(BCDanhMucDauTu_06118!G29),",'Row':",ROW(BCDanhMucDauTu_06118!G29),",","'Format':'numberic'",",'Value':'",SUBSTITUTE(BCDanhMucDauTu_06118!G29,"'","\'"),"','TargetCode':''}")</f>
        <v>{'SheetId':'67b46b8e-8f9b-4b72-bb0c-c761b7d3774f','UId':'4aa96fbd-3555-405a-8558-3106f0623231','Col':7,'Row':29,'Format':'numberic','Value':' ','TargetCode':''}</v>
      </c>
    </row>
    <row r="262" ht="12.75">
      <c r="A262" t="str">
        <f>CONCATENATE("{'SheetId':'67b46b8e-8f9b-4b72-bb0c-c761b7d3774f'",",","'UId':'2c1011b8-d5f5-4b96-8831-019e4bc399c2'",",'Col':",COLUMN(BCDanhMucDauTu_06118!A32),",'Row':",ROW(BCDanhMucDauTu_06118!A32),",","'ColDynamic':",COLUMN(BCDanhMucDauTu_06118!A42),",","'RowDynamic':",ROW(BCDanhMucDauTu_06118!A42),",","'Format':'numberic'",",'Value':'",SUBSTITUTE(BCDanhMucDauTu_06118!A32,"'","\'"),"','TargetCode':''}")</f>
        <v>{'SheetId':'67b46b8e-8f9b-4b72-bb0c-c761b7d3774f','UId':'2c1011b8-d5f5-4b96-8831-019e4bc399c2','Col':1,'Row':32,'ColDynamic':1,'RowDynamic':42,'Format':'numberic','Value':' ','TargetCode':''}</v>
      </c>
    </row>
    <row r="263" ht="12.75">
      <c r="A263" t="str">
        <f>CONCATENATE("{'SheetId':'67b46b8e-8f9b-4b72-bb0c-c761b7d3774f'",",","'UId':'453d63c1-d155-4728-af9c-f504fde1abde'",",'Col':",COLUMN(BCDanhMucDauTu_06118!B32),",'Row':",ROW(BCDanhMucDauTu_06118!B32),",","'ColDynamic':",COLUMN(BCDanhMucDauTu_06118!B42),",","'RowDynamic':",ROW(BCDanhMucDauTu_06118!B42),",","'Format':'string'",",'Value':'",SUBSTITUTE(BCDanhMucDauTu_06118!B32,"'","\'"),"','TargetCode':''}")</f>
        <v>{'SheetId':'67b46b8e-8f9b-4b72-bb0c-c761b7d3774f','UId':'453d63c1-d155-4728-af9c-f504fde1abde','Col':2,'Row':32,'ColDynamic':2,'RowDynamic':42,'Format':'string','Value':'Tổng','TargetCode':''}</v>
      </c>
    </row>
    <row r="264" ht="12.75">
      <c r="A264" t="str">
        <f>CONCATENATE("{'SheetId':'67b46b8e-8f9b-4b72-bb0c-c761b7d3774f'",",","'UId':'b95e71c5-0a8e-4c78-bcf5-de7935e32cda'",",'Col':",COLUMN(BCDanhMucDauTu_06118!C32),",'Row':",ROW(BCDanhMucDauTu_06118!C32),",","'ColDynamic':",COLUMN(BCDanhMucDauTu_06118!C42),",","'RowDynamic':",ROW(BCDanhMucDauTu_06118!C42),",","'Format':'numberic'",",'Value':'",SUBSTITUTE(BCDanhMucDauTu_06118!C32,"'","\'"),"','TargetCode':''}")</f>
        <v>{'SheetId':'67b46b8e-8f9b-4b72-bb0c-c761b7d3774f','UId':'b95e71c5-0a8e-4c78-bcf5-de7935e32cda','Col':3,'Row':32,'ColDynamic':3,'RowDynamic':42,'Format':'numberic','Value':'2254','TargetCode':''}</v>
      </c>
    </row>
    <row r="265" ht="12.75">
      <c r="A265" t="str">
        <f>CONCATENATE("{'SheetId':'67b46b8e-8f9b-4b72-bb0c-c761b7d3774f'",",","'UId':'0c371dfc-ccf8-43da-a89d-79861f98d125'",",'Col':",COLUMN(BCDanhMucDauTu_06118!D32),",'Row':",ROW(BCDanhMucDauTu_06118!D32),",","'ColDynamic':",COLUMN(BCDanhMucDauTu_06118!D42),",","'RowDynamic':",ROW(BCDanhMucDauTu_06118!D42),",","'Format':'numberic'",",'Value':'",SUBSTITUTE(BCDanhMucDauTu_06118!D32,"'","\'"),"','TargetCode':''}")</f>
        <v>{'SheetId':'67b46b8e-8f9b-4b72-bb0c-c761b7d3774f','UId':'0c371dfc-ccf8-43da-a89d-79861f98d125','Col':4,'Row':32,'ColDynamic':4,'RowDynamic':42,'Format':'numberic','Value':' ','TargetCode':''}</v>
      </c>
    </row>
    <row r="266" ht="12.75">
      <c r="A266" t="str">
        <f>CONCATENATE("{'SheetId':'67b46b8e-8f9b-4b72-bb0c-c761b7d3774f'",",","'UId':'011b19c8-fcbe-4df0-bf07-bcc9ee9bc6fd'",",'Col':",COLUMN(BCDanhMucDauTu_06118!E32),",'Row':",ROW(BCDanhMucDauTu_06118!E32),",","'ColDynamic':",COLUMN(BCDanhMucDauTu_06118!E42),",","'RowDynamic':",ROW(BCDanhMucDauTu_06118!E42),",","'Format':'numberic'",",'Value':'",SUBSTITUTE(BCDanhMucDauTu_06118!E32,"'","\'"),"','TargetCode':''}")</f>
        <v>{'SheetId':'67b46b8e-8f9b-4b72-bb0c-c761b7d3774f','UId':'011b19c8-fcbe-4df0-bf07-bcc9ee9bc6fd','Col':5,'Row':32,'ColDynamic':5,'RowDynamic':42,'Format':'numberic','Value':' ','TargetCode':''}</v>
      </c>
    </row>
    <row r="267" ht="12.75">
      <c r="A267" t="str">
        <f>CONCATENATE("{'SheetId':'67b46b8e-8f9b-4b72-bb0c-c761b7d3774f'",",","'UId':'fc047029-43a4-49cd-aa84-840f8e6055a0'",",'Col':",COLUMN(BCDanhMucDauTu_06118!F32),",'Row':",ROW(BCDanhMucDauTu_06118!F32),",","'ColDynamic':",COLUMN(BCDanhMucDauTu_06118!F42),",","'RowDynamic':",ROW(BCDanhMucDauTu_06118!F42),",","'Format':'numberic'",",'Value':'",SUBSTITUTE(BCDanhMucDauTu_06118!F32,"'","\'"),"','TargetCode':''}")</f>
        <v>{'SheetId':'67b46b8e-8f9b-4b72-bb0c-c761b7d3774f','UId':'fc047029-43a4-49cd-aa84-840f8e6055a0','Col':6,'Row':32,'ColDynamic':6,'RowDynamic':42,'Format':'numberic','Value':'','TargetCode':''}</v>
      </c>
    </row>
    <row r="268" ht="12.75">
      <c r="A268" t="str">
        <f>CONCATENATE("{'SheetId':'67b46b8e-8f9b-4b72-bb0c-c761b7d3774f'",",","'UId':'1b975896-1036-463f-9654-e0af79400385'",",'Col':",COLUMN(BCDanhMucDauTu_06118!G32),",'Row':",ROW(BCDanhMucDauTu_06118!G32),",","'ColDynamic':",COLUMN(BCDanhMucDauTu_06118!G30),",","'RowDynamic':",ROW(BCDanhMucDauTu_06118!G30),",","'Format':'numberic'",",'Value':'",SUBSTITUTE(BCDanhMucDauTu_06118!G32,"'","\'"),"','TargetCode':''}")</f>
        <v>{'SheetId':'67b46b8e-8f9b-4b72-bb0c-c761b7d3774f','UId':'1b975896-1036-463f-9654-e0af79400385','Col':7,'Row':32,'ColDynamic':7,'RowDynamic':30,'Format':'numberic','Value':'','TargetCode':''}</v>
      </c>
    </row>
    <row r="269" ht="12.75">
      <c r="A269" t="str">
        <f>CONCATENATE("{'SheetId':'67b46b8e-8f9b-4b72-bb0c-c761b7d3774f'",",","'UId':'bfb2fed2-a4b9-447d-bd7e-080ebeb4dd2b'",",'Col':",COLUMN(BCDanhMucDauTu_06118!D33),",'Row':",ROW(BCDanhMucDauTu_06118!D33),",","'Format':'numberic'",",'Value':'",SUBSTITUTE(BCDanhMucDauTu_06118!D33,"'","\'"),"','TargetCode':''}")</f>
        <v>{'SheetId':'67b46b8e-8f9b-4b72-bb0c-c761b7d3774f','UId':'bfb2fed2-a4b9-447d-bd7e-080ebeb4dd2b','Col':4,'Row':33,'Format':'numberic','Value':' ','TargetCode':''}</v>
      </c>
    </row>
    <row r="270" ht="12.75">
      <c r="A270" t="str">
        <f>CONCATENATE("{'SheetId':'67b46b8e-8f9b-4b72-bb0c-c761b7d3774f'",",","'UId':'83a4aa3e-10d9-437e-9d72-cf9e255a85ed'",",'Col':",COLUMN(BCDanhMucDauTu_06118!E33),",'Row':",ROW(BCDanhMucDauTu_06118!E33),",","'Format':'numberic'",",'Value':'",SUBSTITUTE(BCDanhMucDauTu_06118!E33,"'","\'"),"','TargetCode':''}")</f>
        <v>{'SheetId':'67b46b8e-8f9b-4b72-bb0c-c761b7d3774f','UId':'83a4aa3e-10d9-437e-9d72-cf9e255a85ed','Col':5,'Row':33,'Format':'numberic','Value':' ','TargetCode':''}</v>
      </c>
    </row>
    <row r="271" ht="12.75">
      <c r="A271" t="str">
        <f>CONCATENATE("{'SheetId':'67b46b8e-8f9b-4b72-bb0c-c761b7d3774f'",",","'UId':'969aa2b5-f76c-4102-8c6a-736106d87517'",",'Col':",COLUMN(BCDanhMucDauTu_06118!F33),",'Row':",ROW(BCDanhMucDauTu_06118!F33),",","'Format':'numberic'",",'Value':'",SUBSTITUTE(BCDanhMucDauTu_06118!F33,"'","\'"),"','TargetCode':''}")</f>
        <v>{'SheetId':'67b46b8e-8f9b-4b72-bb0c-c761b7d3774f','UId':'969aa2b5-f76c-4102-8c6a-736106d87517','Col':6,'Row':33,'Format':'numberic','Value':' ','TargetCode':''}</v>
      </c>
    </row>
    <row r="272" ht="12.75">
      <c r="A272" t="str">
        <f>CONCATENATE("{'SheetId':'67b46b8e-8f9b-4b72-bb0c-c761b7d3774f'",",","'UId':'a9430611-07ab-40ab-ab97-4a02ba2bb73c'",",'Col':",COLUMN(BCDanhMucDauTu_06118!G33),",'Row':",ROW(BCDanhMucDauTu_06118!G33),",","'Format':'numberic'",",'Value':'",SUBSTITUTE(BCDanhMucDauTu_06118!G33,"'","\'"),"','TargetCode':''}")</f>
        <v>{'SheetId':'67b46b8e-8f9b-4b72-bb0c-c761b7d3774f','UId':'a9430611-07ab-40ab-ab97-4a02ba2bb73c','Col':7,'Row':33,'Format':'numberic','Value':' ','TargetCode':''}</v>
      </c>
    </row>
    <row r="273" ht="12.75">
      <c r="A273" t="str">
        <f>CONCATENATE("{'SheetId':'67b46b8e-8f9b-4b72-bb0c-c761b7d3774f'",",","'UId':'07c18ff2-8c98-4ed2-84ac-760d073941f7'",",'Col':",COLUMN(BCDanhMucDauTu_06118!A41),",'Row':",ROW(BCDanhMucDauTu_06118!A41),",","'ColDynamic':",COLUMN(BCDanhMucDauTu_06118!A46),",","'RowDynamic':",ROW(BCDanhMucDauTu_06118!A46),",","'Format':'numberic'",",'Value':'",SUBSTITUTE(BCDanhMucDauTu_06118!A41,"'","\'"),"','TargetCode':''}")</f>
        <v>{'SheetId':'67b46b8e-8f9b-4b72-bb0c-c761b7d3774f','UId':'07c18ff2-8c98-4ed2-84ac-760d073941f7','Col':1,'Row':41,'ColDynamic':1,'RowDynamic':46,'Format':'numberic','Value':' ','TargetCode':''}</v>
      </c>
    </row>
    <row r="274" ht="12.75">
      <c r="A274" t="str">
        <f>CONCATENATE("{'SheetId':'67b46b8e-8f9b-4b72-bb0c-c761b7d3774f'",",","'UId':'acab2b2f-ecb9-4a77-b24e-0a131a420bb9'",",'Col':",COLUMN(BCDanhMucDauTu_06118!B41),",'Row':",ROW(BCDanhMucDauTu_06118!B41),",","'ColDynamic':",COLUMN(BCDanhMucDauTu_06118!B46),",","'RowDynamic':",ROW(BCDanhMucDauTu_06118!B46),",","'Format':'string'",",'Value':'",SUBSTITUTE(BCDanhMucDauTu_06118!B41,"'","\'"),"','TargetCode':''}")</f>
        <v>{'SheetId':'67b46b8e-8f9b-4b72-bb0c-c761b7d3774f','UId':'acab2b2f-ecb9-4a77-b24e-0a131a420bb9','Col':2,'Row':41,'ColDynamic':2,'RowDynamic':46,'Format':'string','Value':'Tổng','TargetCode':''}</v>
      </c>
    </row>
    <row r="275" ht="12.75">
      <c r="A275" t="str">
        <f>CONCATENATE("{'SheetId':'67b46b8e-8f9b-4b72-bb0c-c761b7d3774f'",",","'UId':'854963cc-1a79-40f1-9f7e-4c071a7e4185'",",'Col':",COLUMN(BCDanhMucDauTu_06118!C41),",'Row':",ROW(BCDanhMucDauTu_06118!C41),",","'ColDynamic':",COLUMN(BCDanhMucDauTu_06118!C46),",","'RowDynamic':",ROW(BCDanhMucDauTu_06118!C46),",","'Format':'numberic'",",'Value':'",SUBSTITUTE(BCDanhMucDauTu_06118!C41,"'","\'"),"','TargetCode':''}")</f>
        <v>{'SheetId':'67b46b8e-8f9b-4b72-bb0c-c761b7d3774f','UId':'854963cc-1a79-40f1-9f7e-4c071a7e4185','Col':3,'Row':41,'ColDynamic':3,'RowDynamic':46,'Format':'numberic','Value':'2257','TargetCode':''}</v>
      </c>
    </row>
    <row r="276" ht="12.75">
      <c r="A276" t="str">
        <f>CONCATENATE("{'SheetId':'67b46b8e-8f9b-4b72-bb0c-c761b7d3774f'",",","'UId':'3446ee45-f667-4052-9423-d217ab958dc9'",",'Col':",COLUMN(BCDanhMucDauTu_06118!D41),",'Row':",ROW(BCDanhMucDauTu_06118!D41),",","'ColDynamic':",COLUMN(BCDanhMucDauTu_06118!D46),",","'RowDynamic':",ROW(BCDanhMucDauTu_06118!D46),",","'Format':'numberic'",",'Value':'",SUBSTITUTE(BCDanhMucDauTu_06118!D41,"'","\'"),"','TargetCode':''}")</f>
        <v>{'SheetId':'67b46b8e-8f9b-4b72-bb0c-c761b7d3774f','UId':'3446ee45-f667-4052-9423-d217ab958dc9','Col':4,'Row':41,'ColDynamic':4,'RowDynamic':46,'Format':'numberic','Value':' ','TargetCode':''}</v>
      </c>
    </row>
    <row r="277" ht="12.75">
      <c r="A277" t="str">
        <f>CONCATENATE("{'SheetId':'67b46b8e-8f9b-4b72-bb0c-c761b7d3774f'",",","'UId':'48f50b07-5a0f-4c0c-a96e-fa67481cb2bb'",",'Col':",COLUMN(BCDanhMucDauTu_06118!E41),",'Row':",ROW(BCDanhMucDauTu_06118!E41),",","'ColDynamic':",COLUMN(BCDanhMucDauTu_06118!E46),",","'RowDynamic':",ROW(BCDanhMucDauTu_06118!E46),",","'Format':'numberic'",",'Value':'",SUBSTITUTE(BCDanhMucDauTu_06118!E41,"'","\'"),"','TargetCode':''}")</f>
        <v>{'SheetId':'67b46b8e-8f9b-4b72-bb0c-c761b7d3774f','UId':'48f50b07-5a0f-4c0c-a96e-fa67481cb2bb','Col':5,'Row':41,'ColDynamic':5,'RowDynamic':46,'Format':'numberic','Value':' ','TargetCode':''}</v>
      </c>
    </row>
    <row r="278" ht="12.75">
      <c r="A278" t="str">
        <f>CONCATENATE("{'SheetId':'67b46b8e-8f9b-4b72-bb0c-c761b7d3774f'",",","'UId':'499ec781-d794-4fd5-b4e0-8fa0e519d75c'",",'Col':",COLUMN(BCDanhMucDauTu_06118!F41),",'Row':",ROW(BCDanhMucDauTu_06118!F41),",","'ColDynamic':",COLUMN(BCDanhMucDauTu_06118!F46),",","'RowDynamic':",ROW(BCDanhMucDauTu_06118!F46),",","'Format':'numberic'",",'Value':'",SUBSTITUTE(BCDanhMucDauTu_06118!F41,"'","\'"),"','TargetCode':''}")</f>
        <v>{'SheetId':'67b46b8e-8f9b-4b72-bb0c-c761b7d3774f','UId':'499ec781-d794-4fd5-b4e0-8fa0e519d75c','Col':6,'Row':41,'ColDynamic':6,'RowDynamic':46,'Format':'numberic','Value':'1657210000','TargetCode':''}</v>
      </c>
    </row>
    <row r="279" ht="12.75">
      <c r="A279" t="str">
        <f>CONCATENATE("{'SheetId':'67b46b8e-8f9b-4b72-bb0c-c761b7d3774f'",",","'UId':'c2c6ba10-fd24-4d88-83fb-b1ee8f343590'",",'Col':",COLUMN(BCDanhMucDauTu_06118!G41),",'Row':",ROW(BCDanhMucDauTu_06118!G41),",","'ColDynamic':",COLUMN(BCDanhMucDauTu_06118!G34),",","'RowDynamic':",ROW(BCDanhMucDauTu_06118!G34),",","'Format':'numberic'",",'Value':'",SUBSTITUTE(BCDanhMucDauTu_06118!G41,"'","\'"),"','TargetCode':''}")</f>
        <v>{'SheetId':'67b46b8e-8f9b-4b72-bb0c-c761b7d3774f','UId':'c2c6ba10-fd24-4d88-83fb-b1ee8f343590','Col':7,'Row':41,'ColDynamic':7,'RowDynamic':34,'Format':'numberic','Value':'0.0361037252319388','TargetCode':''}</v>
      </c>
    </row>
    <row r="280" ht="12.75">
      <c r="A280" t="str">
        <f>CONCATENATE("{'SheetId':'67b46b8e-8f9b-4b72-bb0c-c761b7d3774f'",",","'UId':'4465c80f-a276-4ade-a0e0-d07d6fe502c2'",",'Col':",COLUMN(BCDanhMucDauTu_06118!D42),",'Row':",ROW(BCDanhMucDauTu_06118!D42),",","'Format':'numberic'",",'Value':'",SUBSTITUTE(BCDanhMucDauTu_06118!D42,"'","\'"),"','TargetCode':''}")</f>
        <v>{'SheetId':'67b46b8e-8f9b-4b72-bb0c-c761b7d3774f','UId':'4465c80f-a276-4ade-a0e0-d07d6fe502c2','Col':4,'Row':42,'Format':'numberic','Value':' ','TargetCode':''}</v>
      </c>
    </row>
    <row r="281" ht="12.75">
      <c r="A281" t="str">
        <f>CONCATENATE("{'SheetId':'67b46b8e-8f9b-4b72-bb0c-c761b7d3774f'",",","'UId':'089e4c22-4552-4b92-b9d3-a3980318527a'",",'Col':",COLUMN(BCDanhMucDauTu_06118!E42),",'Row':",ROW(BCDanhMucDauTu_06118!E42),",","'Format':'numberic'",",'Value':'",SUBSTITUTE(BCDanhMucDauTu_06118!E42,"'","\'"),"','TargetCode':''}")</f>
        <v>{'SheetId':'67b46b8e-8f9b-4b72-bb0c-c761b7d3774f','UId':'089e4c22-4552-4b92-b9d3-a3980318527a','Col':5,'Row':42,'Format':'numberic','Value':' ','TargetCode':''}</v>
      </c>
    </row>
    <row r="282" ht="12.75">
      <c r="A282" t="str">
        <f>CONCATENATE("{'SheetId':'67b46b8e-8f9b-4b72-bb0c-c761b7d3774f'",",","'UId':'cd52d7c8-90b2-4850-9edc-2485a156552e'",",'Col':",COLUMN(BCDanhMucDauTu_06118!F42),",'Row':",ROW(BCDanhMucDauTu_06118!F42),",","'Format':'numberic'",",'Value':'",SUBSTITUTE(BCDanhMucDauTu_06118!F42,"'","\'"),"','TargetCode':''}")</f>
        <v>{'SheetId':'67b46b8e-8f9b-4b72-bb0c-c761b7d3774f','UId':'cd52d7c8-90b2-4850-9edc-2485a156552e','Col':6,'Row':42,'Format':'numberic','Value':'','TargetCode':''}</v>
      </c>
    </row>
    <row r="283" ht="12.75">
      <c r="A283" t="str">
        <f>CONCATENATE("{'SheetId':'67b46b8e-8f9b-4b72-bb0c-c761b7d3774f'",",","'UId':'76e956ad-952e-470b-be49-e427af063ab5'",",'Col':",COLUMN(BCDanhMucDauTu_06118!G42),",'Row':",ROW(BCDanhMucDauTu_06118!G42),",","'Format':'numberic'",",'Value':'",SUBSTITUTE(BCDanhMucDauTu_06118!G42,"'","\'"),"','TargetCode':''}")</f>
        <v>{'SheetId':'67b46b8e-8f9b-4b72-bb0c-c761b7d3774f','UId':'76e956ad-952e-470b-be49-e427af063ab5','Col':7,'Row':42,'Format':'numberic','Value':' ','TargetCode':''}</v>
      </c>
    </row>
    <row r="284" ht="12.75">
      <c r="A284" t="str">
        <f>CONCATENATE("{'SheetId':'67b46b8e-8f9b-4b72-bb0c-c761b7d3774f'",",","'UId':'e35c3ea8-4f7a-4df3-a7e8-59130c0b03ad'",",'Col':",COLUMN(BCDanhMucDauTu_06118!D43),",'Row':",ROW(BCDanhMucDauTu_06118!D43),",","'Format':'numberic'",",'Value':'",SUBSTITUTE(BCDanhMucDauTu_06118!D43,"'","\'"),"','TargetCode':''}")</f>
        <v>{'SheetId':'67b46b8e-8f9b-4b72-bb0c-c761b7d3774f','UId':'e35c3ea8-4f7a-4df3-a7e8-59130c0b03ad','Col':4,'Row':43,'Format':'numberic','Value':' ','TargetCode':''}</v>
      </c>
    </row>
    <row r="285" ht="12.75">
      <c r="A285" t="str">
        <f>CONCATENATE("{'SheetId':'67b46b8e-8f9b-4b72-bb0c-c761b7d3774f'",",","'UId':'3c101e88-8f30-4b9c-9388-60071337ad84'",",'Col':",COLUMN(BCDanhMucDauTu_06118!E43),",'Row':",ROW(BCDanhMucDauTu_06118!E43),",","'Format':'numberic'",",'Value':'",SUBSTITUTE(BCDanhMucDauTu_06118!E43,"'","\'"),"','TargetCode':''}")</f>
        <v>{'SheetId':'67b46b8e-8f9b-4b72-bb0c-c761b7d3774f','UId':'3c101e88-8f30-4b9c-9388-60071337ad84','Col':5,'Row':43,'Format':'numberic','Value':' ','TargetCode':''}</v>
      </c>
    </row>
    <row r="286" ht="12.75">
      <c r="A286" t="str">
        <f>CONCATENATE("{'SheetId':'67b46b8e-8f9b-4b72-bb0c-c761b7d3774f'",",","'UId':'36be17e7-207f-4299-bdec-01ccc1f307a7'",",'Col':",COLUMN(BCDanhMucDauTu_06118!F43),",'Row':",ROW(BCDanhMucDauTu_06118!F43),",","'Format':'numberic'",",'Value':'",SUBSTITUTE(BCDanhMucDauTu_06118!F43,"'","\'"),"','TargetCode':''}")</f>
        <v>{'SheetId':'67b46b8e-8f9b-4b72-bb0c-c761b7d3774f','UId':'36be17e7-207f-4299-bdec-01ccc1f307a7','Col':6,'Row':43,'Format':'numberic','Value':'','TargetCode':''}</v>
      </c>
    </row>
    <row r="287" ht="12.75">
      <c r="A287" t="str">
        <f>CONCATENATE("{'SheetId':'67b46b8e-8f9b-4b72-bb0c-c761b7d3774f'",",","'UId':'af79f950-5da8-4f13-8e55-f0e3598488e3'",",'Col':",COLUMN(BCDanhMucDauTu_06118!G43),",'Row':",ROW(BCDanhMucDauTu_06118!G43),",","'Format':'numberic'",",'Value':'",SUBSTITUTE(BCDanhMucDauTu_06118!G43,"'","\'"),"','TargetCode':''}")</f>
        <v>{'SheetId':'67b46b8e-8f9b-4b72-bb0c-c761b7d3774f','UId':'af79f950-5da8-4f13-8e55-f0e3598488e3','Col':7,'Row':43,'Format':'numberic','Value':'','TargetCode':''}</v>
      </c>
    </row>
    <row r="288" ht="12.75">
      <c r="A288" t="str">
        <f>CONCATENATE("{'SheetId':'67b46b8e-8f9b-4b72-bb0c-c761b7d3774f'",",","'UId':'e2614b11-fd9d-42c6-bea4-8f6267a2839b'",",'Col':",COLUMN(BCDanhMucDauTu_06118!D44),",'Row':",ROW(BCDanhMucDauTu_06118!D44),",","'Format':'numberic'",",'Value':'",SUBSTITUTE(BCDanhMucDauTu_06118!D44,"'","\'"),"','TargetCode':''}")</f>
        <v>{'SheetId':'67b46b8e-8f9b-4b72-bb0c-c761b7d3774f','UId':'e2614b11-fd9d-42c6-bea4-8f6267a2839b','Col':4,'Row':44,'Format':'numberic','Value':'','TargetCode':''}</v>
      </c>
    </row>
    <row r="289" ht="12.75">
      <c r="A289" t="str">
        <f>CONCATENATE("{'SheetId':'67b46b8e-8f9b-4b72-bb0c-c761b7d3774f'",",","'UId':'655cb90b-84a5-4e41-8948-e5809d95d1c6'",",'Col':",COLUMN(BCDanhMucDauTu_06118!E44),",'Row':",ROW(BCDanhMucDauTu_06118!E44),",","'Format':'numberic'",",'Value':'",SUBSTITUTE(BCDanhMucDauTu_06118!E44,"'","\'"),"','TargetCode':''}")</f>
        <v>{'SheetId':'67b46b8e-8f9b-4b72-bb0c-c761b7d3774f','UId':'655cb90b-84a5-4e41-8948-e5809d95d1c6','Col':5,'Row':44,'Format':'numberic','Value':'','TargetCode':''}</v>
      </c>
    </row>
    <row r="290" ht="12.75">
      <c r="A290" t="str">
        <f>CONCATENATE("{'SheetId':'67b46b8e-8f9b-4b72-bb0c-c761b7d3774f'",",","'UId':'96096b8c-622f-4886-b6f2-05110c6fded0'",",'Col':",COLUMN(BCDanhMucDauTu_06118!F44),",'Row':",ROW(BCDanhMucDauTu_06118!F44),",","'Format':'numberic'",",'Value':'",SUBSTITUTE(BCDanhMucDauTu_06118!F44,"'","\'"),"','TargetCode':''}")</f>
        <v>{'SheetId':'67b46b8e-8f9b-4b72-bb0c-c761b7d3774f','UId':'96096b8c-622f-4886-b6f2-05110c6fded0','Col':6,'Row':44,'Format':'numberic','Value':'2743916529','TargetCode':''}</v>
      </c>
    </row>
    <row r="291" ht="12.75">
      <c r="A291" t="str">
        <f>CONCATENATE("{'SheetId':'67b46b8e-8f9b-4b72-bb0c-c761b7d3774f'",",","'UId':'4b3192a6-6194-4086-8cd8-be303a6e69c9'",",'Col':",COLUMN(BCDanhMucDauTu_06118!G44),",'Row':",ROW(BCDanhMucDauTu_06118!G44),",","'Format':'numberic'",",'Value':'",SUBSTITUTE(BCDanhMucDauTu_06118!G44,"'","\'"),"','TargetCode':''}")</f>
        <v>{'SheetId':'67b46b8e-8f9b-4b72-bb0c-c761b7d3774f','UId':'4b3192a6-6194-4086-8cd8-be303a6e69c9','Col':7,'Row':44,'Format':'numberic','Value':'0.0597785485378384','TargetCode':''}</v>
      </c>
    </row>
    <row r="292" ht="12.75">
      <c r="A292" t="str">
        <f>CONCATENATE("{'SheetId':'67b46b8e-8f9b-4b72-bb0c-c761b7d3774f'",",","'UId':'674eba2f-568e-4a24-bf58-a0b833b24a66'",",'Col':",COLUMN(BCDanhMucDauTu_06118!A46),",'Row':",ROW(BCDanhMucDauTu_06118!A46),",","'ColDynamic':",COLUMN(BCDanhMucDauTu_06118!A45),",","'RowDynamic':",ROW(BCDanhMucDauTu_06118!A45),",","'Format':'string'",",'Value':'",SUBSTITUTE(BCDanhMucDauTu_06118!A46,"'","\'"),"','TargetCode':''}")</f>
        <v>{'SheetId':'67b46b8e-8f9b-4b72-bb0c-c761b7d3774f','UId':'674eba2f-568e-4a24-bf58-a0b833b24a66','Col':1,'Row':46,'ColDynamic':1,'RowDynamic':45,'Format':'string','Value':' ','TargetCode':''}</v>
      </c>
    </row>
    <row r="293" ht="12.75">
      <c r="A293" t="str">
        <f>CONCATENATE("{'SheetId':'67b46b8e-8f9b-4b72-bb0c-c761b7d3774f'",",","'UId':'7f85382e-35e6-423b-98d2-0e3a987135e3'",",'Col':",COLUMN(BCDanhMucDauTu_06118!B46),",'Row':",ROW(BCDanhMucDauTu_06118!B46),",","'ColDynamic':",COLUMN(BCDanhMucDauTu_06118!B45),",","'RowDynamic':",ROW(BCDanhMucDauTu_06118!B45),",","'Format':'string'",",'Value':'",SUBSTITUTE(BCDanhMucDauTu_06118!B46,"'","\'"),"','TargetCode':''}")</f>
        <v>{'SheetId':'67b46b8e-8f9b-4b72-bb0c-c761b7d3774f','UId':'7f85382e-35e6-423b-98d2-0e3a987135e3','Col':2,'Row':46,'ColDynamic':2,'RowDynamic':45,'Format':'string','Value':'Tổng','TargetCode':''}</v>
      </c>
    </row>
    <row r="294" ht="12.75">
      <c r="A294" t="str">
        <f>CONCATENATE("{'SheetId':'67b46b8e-8f9b-4b72-bb0c-c761b7d3774f'",",","'UId':'a350c9f0-1c45-4ea8-82e9-58c5876fefeb'",",'Col':",COLUMN(BCDanhMucDauTu_06118!C46),",'Row':",ROW(BCDanhMucDauTu_06118!C46),",","'ColDynamic':",COLUMN(BCDanhMucDauTu_06118!C45),",","'RowDynamic':",ROW(BCDanhMucDauTu_06118!C45),",","'Format':'string'",",'Value':'",SUBSTITUTE(BCDanhMucDauTu_06118!C46,"'","\'"),"','TargetCode':''}")</f>
        <v>{'SheetId':'67b46b8e-8f9b-4b72-bb0c-c761b7d3774f','UId':'a350c9f0-1c45-4ea8-82e9-58c5876fefeb','Col':3,'Row':46,'ColDynamic':3,'RowDynamic':45,'Format':'string','Value':'2262','TargetCode':''}</v>
      </c>
    </row>
    <row r="295" ht="12.75">
      <c r="A295" t="str">
        <f>CONCATENATE("{'SheetId':'67b46b8e-8f9b-4b72-bb0c-c761b7d3774f'",",","'UId':'1e813a56-ead8-4a1e-925b-7eaf1cfd0dcd'",",'Col':",COLUMN(BCDanhMucDauTu_06118!D46),",'Row':",ROW(BCDanhMucDauTu_06118!D46),",","'ColDynamic':",COLUMN(BCDanhMucDauTu_06118!D45),",","'RowDynamic':",ROW(BCDanhMucDauTu_06118!D45),",","'Format':'numberic'",",'Value':'",SUBSTITUTE(BCDanhMucDauTu_06118!D46,"'","\'"),"','TargetCode':''}")</f>
        <v>{'SheetId':'67b46b8e-8f9b-4b72-bb0c-c761b7d3774f','UId':'1e813a56-ead8-4a1e-925b-7eaf1cfd0dcd','Col':4,'Row':46,'ColDynamic':4,'RowDynamic':45,'Format':'numberic','Value':' ','TargetCode':''}</v>
      </c>
    </row>
    <row r="296" ht="12.75">
      <c r="A296" t="str">
        <f>CONCATENATE("{'SheetId':'67b46b8e-8f9b-4b72-bb0c-c761b7d3774f'",",","'UId':'776272b0-7df9-4925-876e-e1a0ed68f066'",",'Col':",COLUMN(BCDanhMucDauTu_06118!E46),",'Row':",ROW(BCDanhMucDauTu_06118!E46),",","'ColDynamic':",COLUMN(BCDanhMucDauTu_06118!E45),",","'RowDynamic':",ROW(BCDanhMucDauTu_06118!E45),",","'Format':'numberic'",",'Value':'",SUBSTITUTE(BCDanhMucDauTu_06118!E46,"'","\'"),"','TargetCode':''}")</f>
        <v>{'SheetId':'67b46b8e-8f9b-4b72-bb0c-c761b7d3774f','UId':'776272b0-7df9-4925-876e-e1a0ed68f066','Col':5,'Row':46,'ColDynamic':5,'RowDynamic':45,'Format':'numberic','Value':' ','TargetCode':''}</v>
      </c>
    </row>
    <row r="297" ht="12.75">
      <c r="A297" t="str">
        <f>CONCATENATE("{'SheetId':'67b46b8e-8f9b-4b72-bb0c-c761b7d3774f'",",","'UId':'5c9e78a1-0fa3-41e7-b225-de47aac24fd3'",",'Col':",COLUMN(BCDanhMucDauTu_06118!F46),",'Row':",ROW(BCDanhMucDauTu_06118!F46),",","'ColDynamic':",COLUMN(BCDanhMucDauTu_06118!F45),",","'RowDynamic':",ROW(BCDanhMucDauTu_06118!F45),",","'Format':'numberic'",",'Value':'",SUBSTITUTE(BCDanhMucDauTu_06118!F46,"'","\'"),"','TargetCode':''}")</f>
        <v>{'SheetId':'67b46b8e-8f9b-4b72-bb0c-c761b7d3774f','UId':'5c9e78a1-0fa3-41e7-b225-de47aac24fd3','Col':6,'Row':46,'ColDynamic':6,'RowDynamic':45,'Format':'numberic','Value':'2743916529','TargetCode':''}</v>
      </c>
    </row>
    <row r="298" ht="12.75">
      <c r="A298" t="str">
        <f>CONCATENATE("{'SheetId':'67b46b8e-8f9b-4b72-bb0c-c761b7d3774f'",",","'UId':'f6be2cb9-200d-4e36-8edd-85f19cfe3467'",",'Col':",COLUMN(BCDanhMucDauTu_06118!G46),",'Row':",ROW(BCDanhMucDauTu_06118!G46),",","'ColDynamic':",COLUMN(BCDanhMucDauTu_06118!G45),",","'RowDynamic':",ROW(BCDanhMucDauTu_06118!G45),",","'Format':'numberic'",",'Value':'",SUBSTITUTE(BCDanhMucDauTu_06118!G46,"'","\'"),"','TargetCode':''}")</f>
        <v>{'SheetId':'67b46b8e-8f9b-4b72-bb0c-c761b7d3774f','UId':'f6be2cb9-200d-4e36-8edd-85f19cfe3467','Col':7,'Row':46,'ColDynamic':7,'RowDynamic':45,'Format':'numberic','Value':'0.0597785485378384','TargetCode':''}</v>
      </c>
    </row>
    <row r="299" ht="12.75">
      <c r="A299" t="str">
        <f>CONCATENATE("{'SheetId':'67b46b8e-8f9b-4b72-bb0c-c761b7d3774f'",",","'UId':'53687f30-88ed-4c0c-acf4-bea4847fe9b5'",",'Col':",COLUMN(BCDanhMucDauTu_06118!A47),",'Row':",ROW(BCDanhMucDauTu_06118!A47),",","'ColDynamic':",COLUMN(BCDanhMucDauTu_06118!A53),",","'RowDynamic':",ROW(BCDanhMucDauTu_06118!A53),",","'Format':'numberic'",",'Value':'",SUBSTITUTE(BCDanhMucDauTu_06118!A47,"'","\'"),"','TargetCode':''}")</f>
        <v>{'SheetId':'67b46b8e-8f9b-4b72-bb0c-c761b7d3774f','UId':'53687f30-88ed-4c0c-acf4-bea4847fe9b5','Col':1,'Row':47,'ColDynamic':1,'RowDynamic':53,'Format':'numberic','Value':'8','TargetCode':''}</v>
      </c>
    </row>
    <row r="300" ht="12.75">
      <c r="A300" t="str">
        <f>CONCATENATE("{'SheetId':'67b46b8e-8f9b-4b72-bb0c-c761b7d3774f'",",","'UId':'e230b4fc-1dc2-422c-a59c-7601e506e8d0'",",'Col':",COLUMN(BCDanhMucDauTu_06118!B47),",'Row':",ROW(BCDanhMucDauTu_06118!B47),",","'ColDynamic':",COLUMN(BCDanhMucDauTu_06118!B53),",","'RowDynamic':",ROW(BCDanhMucDauTu_06118!B53),",","'Format':'string'",",'Value':'",SUBSTITUTE(BCDanhMucDauTu_06118!B47,"'","\'"),"','TargetCode':''}")</f>
        <v>{'SheetId':'67b46b8e-8f9b-4b72-bb0c-c761b7d3774f','UId':'e230b4fc-1dc2-422c-a59c-7601e506e8d0','Col':2,'Row':47,'ColDynamic':2,'RowDynamic':53,'Format':'string','Value':'Tổng giá trị danh mục ','TargetCode':''}</v>
      </c>
    </row>
    <row r="301" ht="12.75">
      <c r="A301" t="str">
        <f>CONCATENATE("{'SheetId':'67b46b8e-8f9b-4b72-bb0c-c761b7d3774f'",",","'UId':'e53421a2-af7f-4705-be27-31bb3fe85bd2'",",'Col':",COLUMN(BCDanhMucDauTu_06118!C47),",'Row':",ROW(BCDanhMucDauTu_06118!C47),",","'ColDynamic':",COLUMN(BCDanhMucDauTu_06118!C53),",","'RowDynamic':",ROW(BCDanhMucDauTu_06118!C53),",","'Format':'numberic'",",'Value':'",SUBSTITUTE(BCDanhMucDauTu_06118!C47,"'","\'"),"','TargetCode':''}")</f>
        <v>{'SheetId':'67b46b8e-8f9b-4b72-bb0c-c761b7d3774f','UId':'e53421a2-af7f-4705-be27-31bb3fe85bd2','Col':3,'Row':47,'ColDynamic':3,'RowDynamic':53,'Format':'numberic','Value':'2263','TargetCode':''}</v>
      </c>
    </row>
    <row r="302" ht="12.75">
      <c r="A302" t="str">
        <f>CONCATENATE("{'SheetId':'67b46b8e-8f9b-4b72-bb0c-c761b7d3774f'",",","'UId':'91d29735-8ad3-47bd-8872-b2fa4b410649'",",'Col':",COLUMN(BCDanhMucDauTu_06118!D47),",'Row':",ROW(BCDanhMucDauTu_06118!D47),",","'ColDynamic':",COLUMN(BCDanhMucDauTu_06118!D53),",","'RowDynamic':",ROW(BCDanhMucDauTu_06118!D53),",","'Format':'numberic'",",'Value':'",SUBSTITUTE(BCDanhMucDauTu_06118!D47,"'","\'"),"','TargetCode':''}")</f>
        <v>{'SheetId':'67b46b8e-8f9b-4b72-bb0c-c761b7d3774f','UId':'91d29735-8ad3-47bd-8872-b2fa4b410649','Col':4,'Row':47,'ColDynamic':4,'RowDynamic':53,'Format':'numberic','Value':'','TargetCode':''}</v>
      </c>
    </row>
    <row r="303" ht="12.75">
      <c r="A303" t="str">
        <f>CONCATENATE("{'SheetId':'67b46b8e-8f9b-4b72-bb0c-c761b7d3774f'",",","'UId':'f3946957-dae1-48ab-b346-6f875281ae77'",",'Col':",COLUMN(BCDanhMucDauTu_06118!E47),",'Row':",ROW(BCDanhMucDauTu_06118!E47),",","'ColDynamic':",COLUMN(BCDanhMucDauTu_06118!E53),",","'RowDynamic':",ROW(BCDanhMucDauTu_06118!E53),",","'Format':'numberic'",",'Value':'",SUBSTITUTE(BCDanhMucDauTu_06118!E47,"'","\'"),"','TargetCode':''}")</f>
        <v>{'SheetId':'67b46b8e-8f9b-4b72-bb0c-c761b7d3774f','UId':'f3946957-dae1-48ab-b346-6f875281ae77','Col':5,'Row':47,'ColDynamic':5,'RowDynamic':53,'Format':'numberic','Value':' ','TargetCode':''}</v>
      </c>
    </row>
    <row r="304" ht="12.75">
      <c r="A304" t="str">
        <f>CONCATENATE("{'SheetId':'67b46b8e-8f9b-4b72-bb0c-c761b7d3774f'",",","'UId':'e40487fb-9b15-4877-a291-66e98031771d'",",'Col':",COLUMN(BCDanhMucDauTu_06118!F47),",'Row':",ROW(BCDanhMucDauTu_06118!F47),",","'ColDynamic':",COLUMN(BCDanhMucDauTu_06118!F53),",","'RowDynamic':",ROW(BCDanhMucDauTu_06118!F53),",","'Format':'numberic'",",'Value':'",SUBSTITUTE(BCDanhMucDauTu_06118!F47,"'","\'"),"','TargetCode':''}")</f>
        <v>{'SheetId':'67b46b8e-8f9b-4b72-bb0c-c761b7d3774f','UId':'e40487fb-9b15-4877-a291-66e98031771d','Col':6,'Row':47,'ColDynamic':6,'RowDynamic':53,'Format':'numberic','Value':'45901357529','TargetCode':''}</v>
      </c>
    </row>
    <row r="305" ht="12.75">
      <c r="A305" t="str">
        <f>CONCATENATE("{'SheetId':'67b46b8e-8f9b-4b72-bb0c-c761b7d3774f'",",","'UId':'ddaf1094-f821-4c3b-8224-0e541108466a'",",'Col':",COLUMN(BCDanhMucDauTu_06118!G47),",'Row':",ROW(BCDanhMucDauTu_06118!G47),",","'Format':'numberic'",",'Value':'",SUBSTITUTE(BCDanhMucDauTu_06118!G47,"'","\'"),"','TargetCode':''}")</f>
        <v>{'SheetId':'67b46b8e-8f9b-4b72-bb0c-c761b7d3774f','UId':'ddaf1094-f821-4c3b-8224-0e541108466a','Col':7,'Row':47,'Format':'numberic','Value':'1','TargetCode':''}</v>
      </c>
    </row>
    <row r="306" ht="12.75">
      <c r="A306" t="str">
        <f>CONCATENATE("{'SheetId':'96a68930-93e7-4b24-8c17-a871eda9a2bf'",",","'UId':'94c91a97-44a2-42d6-ba9a-d8136a7dd9a6'",",'Col':",COLUMN(BCHoatDongVay_06119!D3),",'Row':",ROW(BCHoatDongVay_06119!D3),",","'Format':'string'",",'Value':'",SUBSTITUTE(BCHoatDongVay_06119!D3,"'","\'"),"','TargetCode':''}")</f>
        <v>{'SheetId':'96a68930-93e7-4b24-8c17-a871eda9a2bf','UId':'94c91a97-44a2-42d6-ba9a-d8136a7dd9a6','Col':4,'Row':3,'Format':'string','Value':' ','TargetCode':''}</v>
      </c>
    </row>
    <row r="307" ht="12.75">
      <c r="A307" t="str">
        <f>CONCATENATE("{'SheetId':'96a68930-93e7-4b24-8c17-a871eda9a2bf'",",","'UId':'ac9572d9-b628-481a-969b-a22fbb29816d'",",'Col':",COLUMN(BCHoatDongVay_06119!E3),",'Row':",ROW(BCHoatDongVay_06119!E3),",","'Format':'string'",",'Value':'",SUBSTITUTE(BCHoatDongVay_06119!E3,"'","\'"),"','TargetCode':''}")</f>
        <v>{'SheetId':'96a68930-93e7-4b24-8c17-a871eda9a2bf','UId':'ac9572d9-b628-481a-969b-a22fbb29816d','Col':5,'Row':3,'Format':'string','Value':' ','TargetCode':''}</v>
      </c>
    </row>
    <row r="308" ht="12.75">
      <c r="A308" t="str">
        <f>CONCATENATE("{'SheetId':'96a68930-93e7-4b24-8c17-a871eda9a2bf'",",","'UId':'b550c075-f3b1-4cda-bbae-ab51f7a913b8'",",'Col':",COLUMN(BCHoatDongVay_06119!F3),",'Row':",ROW(BCHoatDongVay_06119!F3),",","'Format':'string'",",'Value':'",SUBSTITUTE(BCHoatDongVay_06119!F3,"'","\'"),"','TargetCode':''}")</f>
        <v>{'SheetId':'96a68930-93e7-4b24-8c17-a871eda9a2bf','UId':'b550c075-f3b1-4cda-bbae-ab51f7a913b8','Col':6,'Row':3,'Format':'string','Value':' ','TargetCode':''}</v>
      </c>
    </row>
    <row r="309" ht="12.75">
      <c r="A309" t="str">
        <f>CONCATENATE("{'SheetId':'96a68930-93e7-4b24-8c17-a871eda9a2bf'",",","'UId':'9f268907-2578-48eb-9630-63975cf15dce'",",'Col':",COLUMN(BCHoatDongVay_06119!G3),",'Row':",ROW(BCHoatDongVay_06119!G3),",","'Format':'numberic'",",'Value':'",SUBSTITUTE(BCHoatDongVay_06119!G3,"'","\'"),"','TargetCode':''}")</f>
        <v>{'SheetId':'96a68930-93e7-4b24-8c17-a871eda9a2bf','UId':'9f268907-2578-48eb-9630-63975cf15dce','Col':7,'Row':3,'Format':'numberic','Value':' ','TargetCode':''}</v>
      </c>
    </row>
    <row r="310" ht="12.75">
      <c r="A310" t="str">
        <f>CONCATENATE("{'SheetId':'96a68930-93e7-4b24-8c17-a871eda9a2bf'",",","'UId':'2aaf2e3f-c59f-4c7e-8c34-ad0843d02d1f'",",'Col':",COLUMN(BCHoatDongVay_06119!H3),",'Row':",ROW(BCHoatDongVay_06119!H3),",","'Format':'string'",",'Value':'",SUBSTITUTE(BCHoatDongVay_06119!H3,"'","\'"),"','TargetCode':''}")</f>
        <v>{'SheetId':'96a68930-93e7-4b24-8c17-a871eda9a2bf','UId':'2aaf2e3f-c59f-4c7e-8c34-ad0843d02d1f','Col':8,'Row':3,'Format':'string','Value':' ','TargetCode':''}</v>
      </c>
    </row>
    <row r="311" ht="12.75">
      <c r="A311" t="str">
        <f>CONCATENATE("{'SheetId':'96a68930-93e7-4b24-8c17-a871eda9a2bf'",",","'UId':'83d1707c-eb7d-40a4-9256-5c38c0f09c81'",",'Col':",COLUMN(BCHoatDongVay_06119!I3),",'Row':",ROW(BCHoatDongVay_06119!I3),",","'Format':'numberic'",",'Value':'",SUBSTITUTE(BCHoatDongVay_06119!I3,"'","\'"),"','TargetCode':''}")</f>
        <v>{'SheetId':'96a68930-93e7-4b24-8c17-a871eda9a2bf','UId':'83d1707c-eb7d-40a4-9256-5c38c0f09c81','Col':9,'Row':3,'Format':'numberic','Value':' ','TargetCode':''}</v>
      </c>
    </row>
    <row r="312" ht="12.75">
      <c r="A312" t="str">
        <f>CONCATENATE("{'SheetId':'96a68930-93e7-4b24-8c17-a871eda9a2bf'",",","'UId':'54255af4-be43-47c5-bcf2-a9a8a2f39ad9'",",'Col':",COLUMN(BCHoatDongVay_06119!J3),",'Row':",ROW(BCHoatDongVay_06119!J3),",","'Format':'string'",",'Value':'",SUBSTITUTE(BCHoatDongVay_06119!J3,"'","\'"),"','TargetCode':''}")</f>
        <v>{'SheetId':'96a68930-93e7-4b24-8c17-a871eda9a2bf','UId':'54255af4-be43-47c5-bcf2-a9a8a2f39ad9','Col':10,'Row':3,'Format':'string','Value':' ','TargetCode':''}</v>
      </c>
    </row>
    <row r="313" ht="12.75">
      <c r="A313" t="str">
        <f>CONCATENATE("{'SheetId':'96a68930-93e7-4b24-8c17-a871eda9a2bf'",",","'UId':'15369f4b-08bc-472b-a628-5fdf753063cd'",",'Col':",COLUMN(BCHoatDongVay_06119!K3),",'Row':",ROW(BCHoatDongVay_06119!K3),",","'Format':'numberic'",",'Value':'",SUBSTITUTE(BCHoatDongVay_06119!K3,"'","\'"),"','TargetCode':''}")</f>
        <v>{'SheetId':'96a68930-93e7-4b24-8c17-a871eda9a2bf','UId':'15369f4b-08bc-472b-a628-5fdf753063cd','Col':11,'Row':3,'Format':'numberic','Value':' ','TargetCode':''}</v>
      </c>
    </row>
    <row r="314" ht="12.75">
      <c r="A314" t="str">
        <f>CONCATENATE("{'SheetId':'96a68930-93e7-4b24-8c17-a871eda9a2bf'",",","'UId':'7fe96052-72c2-4902-a300-0a9762f4873f'",",'Col':",COLUMN(BCHoatDongVay_06119!A5),",'Row':",ROW(BCHoatDongVay_06119!A5),",","'ColDynamic':",COLUMN(BCHoatDongVay_06119!A4),",","'RowDynamic':",ROW(BCHoatDongVay_06119!A4),",","'Format':'numberic'",",'Value':'",SUBSTITUTE(BCHoatDongVay_06119!A5,"'","\'"),"','TargetCode':''}")</f>
        <v>{'SheetId':'96a68930-93e7-4b24-8c17-a871eda9a2bf','UId':'7fe96052-72c2-4902-a300-0a9762f4873f','Col':1,'Row':5,'ColDynamic':1,'RowDynamic':4,'Format':'numberic','Value':'','TargetCode':''}</v>
      </c>
    </row>
    <row r="315" ht="12.75">
      <c r="A315" t="str">
        <f>CONCATENATE("{'SheetId':'96a68930-93e7-4b24-8c17-a871eda9a2bf'",",","'UId':'66b8681c-8459-43dd-8e80-4b41d2bf1ae4'",",'Col':",COLUMN(BCHoatDongVay_06119!B5),",'Row':",ROW(BCHoatDongVay_06119!B5),",","'ColDynamic':",COLUMN(BCHoatDongVay_06119!B4),",","'RowDynamic':",ROW(BCHoatDongVay_06119!B4),",","'Format':'string'",",'Value':'",SUBSTITUTE(BCHoatDongVay_06119!B5,"'","\'"),"','TargetCode':''}")</f>
        <v>{'SheetId':'96a68930-93e7-4b24-8c17-a871eda9a2bf','UId':'66b8681c-8459-43dd-8e80-4b41d2bf1ae4','Col':2,'Row':5,'ColDynamic':2,'RowDynamic':4,'Format':'string','Value':'...','TargetCode':''}</v>
      </c>
    </row>
    <row r="316" ht="12.75">
      <c r="A316" t="str">
        <f>CONCATENATE("{'SheetId':'96a68930-93e7-4b24-8c17-a871eda9a2bf'",",","'UId':'2723fb24-3351-4684-993f-5a421ecd4a1e'",",'Col':",COLUMN(BCHoatDongVay_06119!C5),",'Row':",ROW(BCHoatDongVay_06119!C5),",","'ColDynamic':",COLUMN(BCHoatDongVay_06119!C4),",","'RowDynamic':",ROW(BCHoatDongVay_06119!C4),",","'Format':'numberic'",",'Value':'",SUBSTITUTE(BCHoatDongVay_06119!C5,"'","\'"),"','TargetCode':''}")</f>
        <v>{'SheetId':'96a68930-93e7-4b24-8c17-a871eda9a2bf','UId':'2723fb24-3351-4684-993f-5a421ecd4a1e','Col':3,'Row':5,'ColDynamic':3,'RowDynamic':4,'Format':'numberic','Value':'','TargetCode':''}</v>
      </c>
    </row>
    <row r="317" ht="12.75">
      <c r="A317" t="str">
        <f>CONCATENATE("{'SheetId':'96a68930-93e7-4b24-8c17-a871eda9a2bf'",",","'UId':'e134199d-1f86-48d7-8c44-58151d767876'",",'Col':",COLUMN(BCHoatDongVay_06119!D5),",'Row':",ROW(BCHoatDongVay_06119!D5),",","'ColDynamic':",COLUMN(BCHoatDongVay_06119!D4),",","'RowDynamic':",ROW(BCHoatDongVay_06119!D4),",","'Format':'string'",",'Value':'",SUBSTITUTE(BCHoatDongVay_06119!D5,"'","\'"),"','TargetCode':''}")</f>
        <v>{'SheetId':'96a68930-93e7-4b24-8c17-a871eda9a2bf','UId':'e134199d-1f86-48d7-8c44-58151d767876','Col':4,'Row':5,'ColDynamic':4,'RowDynamic':4,'Format':'string','Value':' ','TargetCode':''}</v>
      </c>
    </row>
    <row r="318" ht="12.75">
      <c r="A318" t="str">
        <f>CONCATENATE("{'SheetId':'96a68930-93e7-4b24-8c17-a871eda9a2bf'",",","'UId':'e861d4e9-824b-48ec-b8d3-59343f36aa3d'",",'Col':",COLUMN(BCHoatDongVay_06119!E5),",'Row':",ROW(BCHoatDongVay_06119!E5),",","'ColDynamic':",COLUMN(BCHoatDongVay_06119!E4),",","'RowDynamic':",ROW(BCHoatDongVay_06119!E4),",","'Format':'string'",",'Value':'",SUBSTITUTE(BCHoatDongVay_06119!E5,"'","\'"),"','TargetCode':''}")</f>
        <v>{'SheetId':'96a68930-93e7-4b24-8c17-a871eda9a2bf','UId':'e861d4e9-824b-48ec-b8d3-59343f36aa3d','Col':5,'Row':5,'ColDynamic':5,'RowDynamic':4,'Format':'string','Value':' ','TargetCode':''}</v>
      </c>
    </row>
    <row r="319" ht="12.75">
      <c r="A319" t="str">
        <f>CONCATENATE("{'SheetId':'96a68930-93e7-4b24-8c17-a871eda9a2bf'",",","'UId':'ef4ec509-3eec-4c13-a8b5-30187c3c13be'",",'Col':",COLUMN(BCHoatDongVay_06119!F5),",'Row':",ROW(BCHoatDongVay_06119!F5),",","'ColDynamic':",COLUMN(BCHoatDongVay_06119!F4),",","'RowDynamic':",ROW(BCHoatDongVay_06119!F4),",","'Format':'string'",",'Value':'",SUBSTITUTE(BCHoatDongVay_06119!F5,"'","\'"),"','TargetCode':''}")</f>
        <v>{'SheetId':'96a68930-93e7-4b24-8c17-a871eda9a2bf','UId':'ef4ec509-3eec-4c13-a8b5-30187c3c13be','Col':6,'Row':5,'ColDynamic':6,'RowDynamic':4,'Format':'string','Value':' ','TargetCode':''}</v>
      </c>
    </row>
    <row r="320" ht="12.75">
      <c r="A320" t="str">
        <f>CONCATENATE("{'SheetId':'96a68930-93e7-4b24-8c17-a871eda9a2bf'",",","'UId':'cc4119ae-409b-431f-a3bb-ae3697f17483'",",'Col':",COLUMN(BCHoatDongVay_06119!G5),",'Row':",ROW(BCHoatDongVay_06119!G5),",","'ColDynamic':",COLUMN(BCHoatDongVay_06119!G4),",","'RowDynamic':",ROW(BCHoatDongVay_06119!G4),",","'Format':'numberic'",",'Value':'",SUBSTITUTE(BCHoatDongVay_06119!G5,"'","\'"),"','TargetCode':''}")</f>
        <v>{'SheetId':'96a68930-93e7-4b24-8c17-a871eda9a2bf','UId':'cc4119ae-409b-431f-a3bb-ae3697f17483','Col':7,'Row':5,'ColDynamic':7,'RowDynamic':4,'Format':'numberic','Value':' ','TargetCode':''}</v>
      </c>
    </row>
    <row r="321" ht="12.75">
      <c r="A321" t="str">
        <f>CONCATENATE("{'SheetId':'96a68930-93e7-4b24-8c17-a871eda9a2bf'",",","'UId':'86c761e3-c54f-442c-862d-6e721d80bd0a'",",'Col':",COLUMN(BCHoatDongVay_06119!H5),",'Row':",ROW(BCHoatDongVay_06119!H5),",","'ColDynamic':",COLUMN(BCHoatDongVay_06119!H4),",","'RowDynamic':",ROW(BCHoatDongVay_06119!H4),",","'Format':'string'",",'Value':'",SUBSTITUTE(BCHoatDongVay_06119!H5,"'","\'"),"','TargetCode':''}")</f>
        <v>{'SheetId':'96a68930-93e7-4b24-8c17-a871eda9a2bf','UId':'86c761e3-c54f-442c-862d-6e721d80bd0a','Col':8,'Row':5,'ColDynamic':8,'RowDynamic':4,'Format':'string','Value':' ','TargetCode':''}</v>
      </c>
    </row>
    <row r="322" ht="12.75">
      <c r="A322" t="str">
        <f>CONCATENATE("{'SheetId':'96a68930-93e7-4b24-8c17-a871eda9a2bf'",",","'UId':'ec0423fb-a1c1-4d08-a1f6-2a08fc449c88'",",'Col':",COLUMN(BCHoatDongVay_06119!I5),",'Row':",ROW(BCHoatDongVay_06119!I5),",","'ColDynamic':",COLUMN(BCHoatDongVay_06119!I4),",","'RowDynamic':",ROW(BCHoatDongVay_06119!I4),",","'Format':'numberic'",",'Value':'",SUBSTITUTE(BCHoatDongVay_06119!I5,"'","\'"),"','TargetCode':''}")</f>
        <v>{'SheetId':'96a68930-93e7-4b24-8c17-a871eda9a2bf','UId':'ec0423fb-a1c1-4d08-a1f6-2a08fc449c88','Col':9,'Row':5,'ColDynamic':9,'RowDynamic':4,'Format':'numberic','Value':' ','TargetCode':''}</v>
      </c>
    </row>
    <row r="323" ht="12.75">
      <c r="A323" t="str">
        <f>CONCATENATE("{'SheetId':'96a68930-93e7-4b24-8c17-a871eda9a2bf'",",","'UId':'fe34fd5a-1f60-4c3d-8bd9-a5bbe159c80a'",",'Col':",COLUMN(BCHoatDongVay_06119!J5),",'Row':",ROW(BCHoatDongVay_06119!J5),",","'ColDynamic':",COLUMN(BCHoatDongVay_06119!J4),",","'RowDynamic':",ROW(BCHoatDongVay_06119!J4),",","'Format':'string'",",'Value':'",SUBSTITUTE(BCHoatDongVay_06119!J5,"'","\'"),"','TargetCode':''}")</f>
        <v>{'SheetId':'96a68930-93e7-4b24-8c17-a871eda9a2bf','UId':'fe34fd5a-1f60-4c3d-8bd9-a5bbe159c80a','Col':10,'Row':5,'ColDynamic':10,'RowDynamic':4,'Format':'string','Value':' ','TargetCode':''}</v>
      </c>
    </row>
    <row r="324" ht="12.75">
      <c r="A324" t="str">
        <f>CONCATENATE("{'SheetId':'96a68930-93e7-4b24-8c17-a871eda9a2bf'",",","'UId':'00899fd1-e62b-4514-9e51-b4dc68b76d95'",",'Col':",COLUMN(BCHoatDongVay_06119!K5),",'Row':",ROW(BCHoatDongVay_06119!K5),",","'ColDynamic':",COLUMN(BCHoatDongVay_06119!K4),",","'RowDynamic':",ROW(BCHoatDongVay_06119!K4),",","'Format':'numberic'",",'Value':'",SUBSTITUTE(BCHoatDongVay_06119!K5,"'","\'"),"','TargetCode':''}")</f>
        <v>{'SheetId':'96a68930-93e7-4b24-8c17-a871eda9a2bf','UId':'00899fd1-e62b-4514-9e51-b4dc68b76d95','Col':11,'Row':5,'ColDynamic':11,'RowDynamic':4,'Format':'numberic','Value':' ','TargetCode':''}</v>
      </c>
    </row>
    <row r="325" ht="12.75">
      <c r="A325" t="str">
        <f>CONCATENATE("{'SheetId':'96a68930-93e7-4b24-8c17-a871eda9a2bf'",",","'UId':'19111fd0-e2ed-4b32-ab23-cc34f460c7a9'",",'Col':",COLUMN(BCHoatDongVay_06119!D6),",'Row':",ROW(BCHoatDongVay_06119!D6),",","'Format':'string'",",'Value':'",SUBSTITUTE(BCHoatDongVay_06119!D6,"'","\'"),"','TargetCode':''}")</f>
        <v>{'SheetId':'96a68930-93e7-4b24-8c17-a871eda9a2bf','UId':'19111fd0-e2ed-4b32-ab23-cc34f460c7a9','Col':4,'Row':6,'Format':'string','Value':' ','TargetCode':''}</v>
      </c>
    </row>
    <row r="326" ht="12.75">
      <c r="A326" t="str">
        <f>CONCATENATE("{'SheetId':'96a68930-93e7-4b24-8c17-a871eda9a2bf'",",","'UId':'ef0acd90-c232-4aef-9d05-6056ecb3a2c5'",",'Col':",COLUMN(BCHoatDongVay_06119!E6),",'Row':",ROW(BCHoatDongVay_06119!E6),",","'Format':'string'",",'Value':'",SUBSTITUTE(BCHoatDongVay_06119!E6,"'","\'"),"','TargetCode':''}")</f>
        <v>{'SheetId':'96a68930-93e7-4b24-8c17-a871eda9a2bf','UId':'ef0acd90-c232-4aef-9d05-6056ecb3a2c5','Col':5,'Row':6,'Format':'string','Value':' ','TargetCode':''}</v>
      </c>
    </row>
    <row r="327" ht="12.75">
      <c r="A327" t="str">
        <f>CONCATENATE("{'SheetId':'96a68930-93e7-4b24-8c17-a871eda9a2bf'",",","'UId':'d64102d9-3d90-4037-b8d2-cf1fc4122b04'",",'Col':",COLUMN(BCHoatDongVay_06119!F6),",'Row':",ROW(BCHoatDongVay_06119!F6),",","'Format':'string'",",'Value':'",SUBSTITUTE(BCHoatDongVay_06119!F6,"'","\'"),"','TargetCode':''}")</f>
        <v>{'SheetId':'96a68930-93e7-4b24-8c17-a871eda9a2bf','UId':'d64102d9-3d90-4037-b8d2-cf1fc4122b04','Col':6,'Row':6,'Format':'string','Value':' ','TargetCode':''}</v>
      </c>
    </row>
    <row r="328" ht="12.75">
      <c r="A328" t="str">
        <f>CONCATENATE("{'SheetId':'96a68930-93e7-4b24-8c17-a871eda9a2bf'",",","'UId':'e7f2b960-3856-4a36-a2a5-f9a2a51aecd8'",",'Col':",COLUMN(BCHoatDongVay_06119!G6),",'Row':",ROW(BCHoatDongVay_06119!G6),",","'Format':'numberic'",",'Value':'",SUBSTITUTE(BCHoatDongVay_06119!G6,"'","\'"),"','TargetCode':''}")</f>
        <v>{'SheetId':'96a68930-93e7-4b24-8c17-a871eda9a2bf','UId':'e7f2b960-3856-4a36-a2a5-f9a2a51aecd8','Col':7,'Row':6,'Format':'numberic','Value':' ','TargetCode':''}</v>
      </c>
    </row>
    <row r="329" ht="12.75">
      <c r="A329" t="str">
        <f>CONCATENATE("{'SheetId':'96a68930-93e7-4b24-8c17-a871eda9a2bf'",",","'UId':'aebe7705-f5d5-48b9-b73b-b4a415a8d609'",",'Col':",COLUMN(BCHoatDongVay_06119!H6),",'Row':",ROW(BCHoatDongVay_06119!H6),",","'Format':'string'",",'Value':'",SUBSTITUTE(BCHoatDongVay_06119!H6,"'","\'"),"','TargetCode':''}")</f>
        <v>{'SheetId':'96a68930-93e7-4b24-8c17-a871eda9a2bf','UId':'aebe7705-f5d5-48b9-b73b-b4a415a8d609','Col':8,'Row':6,'Format':'string','Value':' ','TargetCode':''}</v>
      </c>
    </row>
    <row r="330" ht="12.75">
      <c r="A330" t="str">
        <f>CONCATENATE("{'SheetId':'96a68930-93e7-4b24-8c17-a871eda9a2bf'",",","'UId':'4e2845da-1526-4435-bee7-3589a1a00745'",",'Col':",COLUMN(BCHoatDongVay_06119!I6),",'Row':",ROW(BCHoatDongVay_06119!I6),",","'Format':'numberic'",",'Value':'",SUBSTITUTE(BCHoatDongVay_06119!I6,"'","\'"),"','TargetCode':''}")</f>
        <v>{'SheetId':'96a68930-93e7-4b24-8c17-a871eda9a2bf','UId':'4e2845da-1526-4435-bee7-3589a1a00745','Col':9,'Row':6,'Format':'numberic','Value':' ','TargetCode':''}</v>
      </c>
    </row>
    <row r="331" ht="12.75">
      <c r="A331" t="str">
        <f>CONCATENATE("{'SheetId':'96a68930-93e7-4b24-8c17-a871eda9a2bf'",",","'UId':'e071d5fa-79c2-4553-8179-c4f4d9a5ac10'",",'Col':",COLUMN(BCHoatDongVay_06119!J6),",'Row':",ROW(BCHoatDongVay_06119!J6),",","'Format':'string'",",'Value':'",SUBSTITUTE(BCHoatDongVay_06119!J6,"'","\'"),"','TargetCode':''}")</f>
        <v>{'SheetId':'96a68930-93e7-4b24-8c17-a871eda9a2bf','UId':'e071d5fa-79c2-4553-8179-c4f4d9a5ac10','Col':10,'Row':6,'Format':'string','Value':' ','TargetCode':''}</v>
      </c>
    </row>
    <row r="332" ht="12.75">
      <c r="A332" t="str">
        <f>CONCATENATE("{'SheetId':'96a68930-93e7-4b24-8c17-a871eda9a2bf'",",","'UId':'bf3d6a1a-aef1-4ec6-933d-e35161819c4c'",",'Col':",COLUMN(BCHoatDongVay_06119!K6),",'Row':",ROW(BCHoatDongVay_06119!K6),",","'Format':'numberic'",",'Value':'",SUBSTITUTE(BCHoatDongVay_06119!K6,"'","\'"),"','TargetCode':''}")</f>
        <v>{'SheetId':'96a68930-93e7-4b24-8c17-a871eda9a2bf','UId':'bf3d6a1a-aef1-4ec6-933d-e35161819c4c','Col':11,'Row':6,'Format':'numberic','Value':' ','TargetCode':''}</v>
      </c>
    </row>
    <row r="333" ht="12.75">
      <c r="A333" t="str">
        <f>CONCATENATE("{'SheetId':'96a68930-93e7-4b24-8c17-a871eda9a2bf'",",","'UId':'1c775319-d046-4057-9d0e-462ad56191d3'",",'Col':",COLUMN(BCHoatDongVay_06119!D7),",'Row':",ROW(BCHoatDongVay_06119!D7),",","'Format':'string'",",'Value':'",SUBSTITUTE(BCHoatDongVay_06119!D7,"'","\'"),"','TargetCode':''}")</f>
        <v>{'SheetId':'96a68930-93e7-4b24-8c17-a871eda9a2bf','UId':'1c775319-d046-4057-9d0e-462ad56191d3','Col':4,'Row':7,'Format':'string','Value':' ','TargetCode':''}</v>
      </c>
    </row>
    <row r="334" ht="12.75">
      <c r="A334" t="str">
        <f>CONCATENATE("{'SheetId':'96a68930-93e7-4b24-8c17-a871eda9a2bf'",",","'UId':'5b0fe15e-d131-4661-8f8c-6a636886b9f8'",",'Col':",COLUMN(BCHoatDongVay_06119!E7),",'Row':",ROW(BCHoatDongVay_06119!E7),",","'Format':'string'",",'Value':'",SUBSTITUTE(BCHoatDongVay_06119!E7,"'","\'"),"','TargetCode':''}")</f>
        <v>{'SheetId':'96a68930-93e7-4b24-8c17-a871eda9a2bf','UId':'5b0fe15e-d131-4661-8f8c-6a636886b9f8','Col':5,'Row':7,'Format':'string','Value':' ','TargetCode':''}</v>
      </c>
    </row>
    <row r="335" ht="12.75">
      <c r="A335" t="str">
        <f>CONCATENATE("{'SheetId':'96a68930-93e7-4b24-8c17-a871eda9a2bf'",",","'UId':'7986b1a9-1931-45b1-8b4f-d67615c2ad95'",",'Col':",COLUMN(BCHoatDongVay_06119!F7),",'Row':",ROW(BCHoatDongVay_06119!F7),",","'Format':'string'",",'Value':'",SUBSTITUTE(BCHoatDongVay_06119!F7,"'","\'"),"','TargetCode':''}")</f>
        <v>{'SheetId':'96a68930-93e7-4b24-8c17-a871eda9a2bf','UId':'7986b1a9-1931-45b1-8b4f-d67615c2ad95','Col':6,'Row':7,'Format':'string','Value':' ','TargetCode':''}</v>
      </c>
    </row>
    <row r="336" ht="12.75">
      <c r="A336" t="str">
        <f>CONCATENATE("{'SheetId':'96a68930-93e7-4b24-8c17-a871eda9a2bf'",",","'UId':'84b30875-95f7-4350-9ca6-f462b11fc2e3'",",'Col':",COLUMN(BCHoatDongVay_06119!G7),",'Row':",ROW(BCHoatDongVay_06119!G7),",","'Format':'numberic'",",'Value':'",SUBSTITUTE(BCHoatDongVay_06119!G7,"'","\'"),"','TargetCode':''}")</f>
        <v>{'SheetId':'96a68930-93e7-4b24-8c17-a871eda9a2bf','UId':'84b30875-95f7-4350-9ca6-f462b11fc2e3','Col':7,'Row':7,'Format':'numberic','Value':' ','TargetCode':''}</v>
      </c>
    </row>
    <row r="337" ht="12.75">
      <c r="A337" t="str">
        <f>CONCATENATE("{'SheetId':'96a68930-93e7-4b24-8c17-a871eda9a2bf'",",","'UId':'8b743910-5ddf-4e24-b341-3aa6a3397769'",",'Col':",COLUMN(BCHoatDongVay_06119!H7),",'Row':",ROW(BCHoatDongVay_06119!H7),",","'Format':'string'",",'Value':'",SUBSTITUTE(BCHoatDongVay_06119!H7,"'","\'"),"','TargetCode':''}")</f>
        <v>{'SheetId':'96a68930-93e7-4b24-8c17-a871eda9a2bf','UId':'8b743910-5ddf-4e24-b341-3aa6a3397769','Col':8,'Row':7,'Format':'string','Value':' ','TargetCode':''}</v>
      </c>
    </row>
    <row r="338" ht="12.75">
      <c r="A338" t="str">
        <f>CONCATENATE("{'SheetId':'96a68930-93e7-4b24-8c17-a871eda9a2bf'",",","'UId':'f803179c-985e-4839-abf9-53bdb1742346'",",'Col':",COLUMN(BCHoatDongVay_06119!I7),",'Row':",ROW(BCHoatDongVay_06119!I7),",","'Format':'string'",",'Value':'",SUBSTITUTE(BCHoatDongVay_06119!I7,"'","\'"),"','TargetCode':''}")</f>
        <v>{'SheetId':'96a68930-93e7-4b24-8c17-a871eda9a2bf','UId':'f803179c-985e-4839-abf9-53bdb1742346','Col':9,'Row':7,'Format':'string','Value':' ','TargetCode':''}</v>
      </c>
    </row>
    <row r="339" ht="12.75">
      <c r="A339" t="str">
        <f>CONCATENATE("{'SheetId':'96a68930-93e7-4b24-8c17-a871eda9a2bf'",",","'UId':'fcd6378b-4f8e-43bc-911a-fe179037c4e8'",",'Col':",COLUMN(BCHoatDongVay_06119!J7),",'Row':",ROW(BCHoatDongVay_06119!J7),",","'Format':'string'",",'Value':'",SUBSTITUTE(BCHoatDongVay_06119!J7,"'","\'"),"','TargetCode':''}")</f>
        <v>{'SheetId':'96a68930-93e7-4b24-8c17-a871eda9a2bf','UId':'fcd6378b-4f8e-43bc-911a-fe179037c4e8','Col':10,'Row':7,'Format':'string','Value':' ','TargetCode':''}</v>
      </c>
    </row>
    <row r="340" ht="12.75">
      <c r="A340" t="str">
        <f>CONCATENATE("{'SheetId':'96a68930-93e7-4b24-8c17-a871eda9a2bf'",",","'UId':'7ad3375a-6301-4654-8306-4bb87c32fb4b'",",'Col':",COLUMN(BCHoatDongVay_06119!K7),",'Row':",ROW(BCHoatDongVay_06119!K7),",","'Format':'numberic'",",'Value':'",SUBSTITUTE(BCHoatDongVay_06119!K7,"'","\'"),"','TargetCode':''}")</f>
        <v>{'SheetId':'96a68930-93e7-4b24-8c17-a871eda9a2bf','UId':'7ad3375a-6301-4654-8306-4bb87c32fb4b','Col':11,'Row':7,'Format':'numberic','Value':' ','TargetCode':''}</v>
      </c>
    </row>
    <row r="341" ht="12.75">
      <c r="A341" t="str">
        <f>CONCATENATE("{'SheetId':'96a68930-93e7-4b24-8c17-a871eda9a2bf'",",","'UId':'0e665efd-7806-4d2d-9d28-bedd9acc05e9'",",'Col':",COLUMN(BCHoatDongVay_06119!A9),",'Row':",ROW(BCHoatDongVay_06119!A9),",","'ColDynamic':",COLUMN(BCHoatDongVay_06119!A8),",","'RowDynamic':",ROW(BCHoatDongVay_06119!A8),",","'Format':'string'",",'Value':'",SUBSTITUTE(BCHoatDongVay_06119!A9,"'","\'"),"','TargetCode':''}")</f>
        <v>{'SheetId':'96a68930-93e7-4b24-8c17-a871eda9a2bf','UId':'0e665efd-7806-4d2d-9d28-bedd9acc05e9','Col':1,'Row':9,'ColDynamic':1,'RowDynamic':8,'Format':'string','Value':'','TargetCode':''}</v>
      </c>
    </row>
    <row r="342" ht="12.75">
      <c r="A342" t="str">
        <f>CONCATENATE("{'SheetId':'96a68930-93e7-4b24-8c17-a871eda9a2bf'",",","'UId':'6895e293-29bb-46fd-b7b6-abf86e3971ba'",",'Col':",COLUMN(BCHoatDongVay_06119!B9),",'Row':",ROW(BCHoatDongVay_06119!B9),",","'ColDynamic':",COLUMN(BCHoatDongVay_06119!B8),",","'RowDynamic':",ROW(BCHoatDongVay_06119!B8),",","'Format':'string'",",'Value':'",SUBSTITUTE(BCHoatDongVay_06119!B9,"'","\'"),"','TargetCode':''}")</f>
        <v>{'SheetId':'96a68930-93e7-4b24-8c17-a871eda9a2bf','UId':'6895e293-29bb-46fd-b7b6-abf86e3971ba','Col':2,'Row':9,'ColDynamic':2,'RowDynamic':8,'Format':'string','Value':'...','TargetCode':''}</v>
      </c>
    </row>
    <row r="343" ht="12.75">
      <c r="A343" t="str">
        <f>CONCATENATE("{'SheetId':'96a68930-93e7-4b24-8c17-a871eda9a2bf'",",","'UId':'d226b366-c294-4202-bd85-3a7874d1863a'",",'Col':",COLUMN(BCHoatDongVay_06119!C9),",'Row':",ROW(BCHoatDongVay_06119!C9),",","'ColDynamic':",COLUMN(BCHoatDongVay_06119!C8),",","'RowDynamic':",ROW(BCHoatDongVay_06119!C8),",","'Format':'numberic'",",'Value':'",SUBSTITUTE(BCHoatDongVay_06119!C9,"'","\'"),"','TargetCode':''}")</f>
        <v>{'SheetId':'96a68930-93e7-4b24-8c17-a871eda9a2bf','UId':'d226b366-c294-4202-bd85-3a7874d1863a','Col':3,'Row':9,'ColDynamic':3,'RowDynamic':8,'Format':'numberic','Value':'','TargetCode':''}</v>
      </c>
    </row>
    <row r="344" ht="12.75">
      <c r="A344" t="str">
        <f>CONCATENATE("{'SheetId':'96a68930-93e7-4b24-8c17-a871eda9a2bf'",",","'UId':'cff3fea6-86ad-4b0f-ad1d-31459256cf37'",",'Col':",COLUMN(BCHoatDongVay_06119!D9),",'Row':",ROW(BCHoatDongVay_06119!D9),",","'ColDynamic':",COLUMN(BCHoatDongVay_06119!D8),",","'RowDynamic':",ROW(BCHoatDongVay_06119!D8),",","'Format':'string'",",'Value':'",SUBSTITUTE(BCHoatDongVay_06119!D9,"'","\'"),"','TargetCode':''}")</f>
        <v>{'SheetId':'96a68930-93e7-4b24-8c17-a871eda9a2bf','UId':'cff3fea6-86ad-4b0f-ad1d-31459256cf37','Col':4,'Row':9,'ColDynamic':4,'RowDynamic':8,'Format':'string','Value':' ','TargetCode':''}</v>
      </c>
    </row>
    <row r="345" ht="12.75">
      <c r="A345" t="str">
        <f>CONCATENATE("{'SheetId':'96a68930-93e7-4b24-8c17-a871eda9a2bf'",",","'UId':'b42374ec-38a6-4e91-8f4a-8698d13c492d'",",'Col':",COLUMN(BCHoatDongVay_06119!E9),",'Row':",ROW(BCHoatDongVay_06119!E9),",","'ColDynamic':",COLUMN(BCHoatDongVay_06119!E8),",","'RowDynamic':",ROW(BCHoatDongVay_06119!E8),",","'Format':'string'",",'Value':'",SUBSTITUTE(BCHoatDongVay_06119!E9,"'","\'"),"','TargetCode':''}")</f>
        <v>{'SheetId':'96a68930-93e7-4b24-8c17-a871eda9a2bf','UId':'b42374ec-38a6-4e91-8f4a-8698d13c492d','Col':5,'Row':9,'ColDynamic':5,'RowDynamic':8,'Format':'string','Value':' ','TargetCode':''}</v>
      </c>
    </row>
    <row r="346" ht="12.75">
      <c r="A346" t="str">
        <f>CONCATENATE("{'SheetId':'96a68930-93e7-4b24-8c17-a871eda9a2bf'",",","'UId':'7e50d350-f527-45d7-b45a-666d4857ea54'",",'Col':",COLUMN(BCHoatDongVay_06119!F9),",'Row':",ROW(BCHoatDongVay_06119!F9),",","'ColDynamic':",COLUMN(BCHoatDongVay_06119!F8),",","'RowDynamic':",ROW(BCHoatDongVay_06119!F8),",","'Format':'string'",",'Value':'",SUBSTITUTE(BCHoatDongVay_06119!F9,"'","\'"),"','TargetCode':''}")</f>
        <v>{'SheetId':'96a68930-93e7-4b24-8c17-a871eda9a2bf','UId':'7e50d350-f527-45d7-b45a-666d4857ea54','Col':6,'Row':9,'ColDynamic':6,'RowDynamic':8,'Format':'string','Value':' ','TargetCode':''}</v>
      </c>
    </row>
    <row r="347" ht="12.75">
      <c r="A347" t="str">
        <f>CONCATENATE("{'SheetId':'96a68930-93e7-4b24-8c17-a871eda9a2bf'",",","'UId':'4bec8407-d948-4d62-a084-e42c7ae3d236'",",'Col':",COLUMN(BCHoatDongVay_06119!G9),",'Row':",ROW(BCHoatDongVay_06119!G9),",","'ColDynamic':",COLUMN(BCHoatDongVay_06119!G8),",","'RowDynamic':",ROW(BCHoatDongVay_06119!G8),",","'Format':'numberic'",",'Value':'",SUBSTITUTE(BCHoatDongVay_06119!G9,"'","\'"),"','TargetCode':''}")</f>
        <v>{'SheetId':'96a68930-93e7-4b24-8c17-a871eda9a2bf','UId':'4bec8407-d948-4d62-a084-e42c7ae3d236','Col':7,'Row':9,'ColDynamic':7,'RowDynamic':8,'Format':'numberic','Value':' ','TargetCode':''}</v>
      </c>
    </row>
    <row r="348" ht="12.75">
      <c r="A348" t="str">
        <f>CONCATENATE("{'SheetId':'96a68930-93e7-4b24-8c17-a871eda9a2bf'",",","'UId':'4d08738b-e3f0-433a-bcac-8c97b7bade0b'",",'Col':",COLUMN(BCHoatDongVay_06119!H9),",'Row':",ROW(BCHoatDongVay_06119!H9),",","'ColDynamic':",COLUMN(BCHoatDongVay_06119!H8),",","'RowDynamic':",ROW(BCHoatDongVay_06119!H8),",","'Format':'string'",",'Value':'",SUBSTITUTE(BCHoatDongVay_06119!H9,"'","\'"),"','TargetCode':''}")</f>
        <v>{'SheetId':'96a68930-93e7-4b24-8c17-a871eda9a2bf','UId':'4d08738b-e3f0-433a-bcac-8c97b7bade0b','Col':8,'Row':9,'ColDynamic':8,'RowDynamic':8,'Format':'string','Value':' ','TargetCode':''}</v>
      </c>
    </row>
    <row r="349" ht="12.75">
      <c r="A349" t="str">
        <f>CONCATENATE("{'SheetId':'96a68930-93e7-4b24-8c17-a871eda9a2bf'",",","'UId':'f80704fb-e985-46aa-b36f-145c17257fa4'",",'Col':",COLUMN(BCHoatDongVay_06119!I9),",'Row':",ROW(BCHoatDongVay_06119!I9),",","'ColDynamic':",COLUMN(BCHoatDongVay_06119!I8),",","'RowDynamic':",ROW(BCHoatDongVay_06119!I8),",","'Format':'numberic'",",'Value':'",SUBSTITUTE(BCHoatDongVay_06119!I9,"'","\'"),"','TargetCode':''}")</f>
        <v>{'SheetId':'96a68930-93e7-4b24-8c17-a871eda9a2bf','UId':'f80704fb-e985-46aa-b36f-145c17257fa4','Col':9,'Row':9,'ColDynamic':9,'RowDynamic':8,'Format':'numberic','Value':' ','TargetCode':''}</v>
      </c>
    </row>
    <row r="350" ht="12.75">
      <c r="A350" t="str">
        <f>CONCATENATE("{'SheetId':'96a68930-93e7-4b24-8c17-a871eda9a2bf'",",","'UId':'14d06b40-fca4-40cf-a9b3-b52aff5a9b45'",",'Col':",COLUMN(BCHoatDongVay_06119!J9),",'Row':",ROW(BCHoatDongVay_06119!J9),",","'ColDynamic':",COLUMN(BCHoatDongVay_06119!J8),",","'RowDynamic':",ROW(BCHoatDongVay_06119!J8),",","'Format':'string'",",'Value':'",SUBSTITUTE(BCHoatDongVay_06119!J9,"'","\'"),"','TargetCode':''}")</f>
        <v>{'SheetId':'96a68930-93e7-4b24-8c17-a871eda9a2bf','UId':'14d06b40-fca4-40cf-a9b3-b52aff5a9b45','Col':10,'Row':9,'ColDynamic':10,'RowDynamic':8,'Format':'string','Value':' ','TargetCode':''}</v>
      </c>
    </row>
    <row r="351" ht="12.75">
      <c r="A351" t="str">
        <f>CONCATENATE("{'SheetId':'96a68930-93e7-4b24-8c17-a871eda9a2bf'",",","'UId':'ee8689b6-d0a3-4d66-a21e-dc2e9c108855'",",'Col':",COLUMN(BCHoatDongVay_06119!K9),",'Row':",ROW(BCHoatDongVay_06119!K9),",","'ColDynamic':",COLUMN(BCHoatDongVay_06119!K8),",","'RowDynamic':",ROW(BCHoatDongVay_06119!K8),",","'Format':'numberic'",",'Value':'",SUBSTITUTE(BCHoatDongVay_06119!K9,"'","\'"),"','TargetCode':''}")</f>
        <v>{'SheetId':'96a68930-93e7-4b24-8c17-a871eda9a2bf','UId':'ee8689b6-d0a3-4d66-a21e-dc2e9c108855','Col':11,'Row':9,'ColDynamic':11,'RowDynamic':8,'Format':'numberic','Value':' ','TargetCode':''}</v>
      </c>
    </row>
    <row r="352" ht="12.75">
      <c r="A352" t="str">
        <f>CONCATENATE("{'SheetId':'96a68930-93e7-4b24-8c17-a871eda9a2bf'",",","'UId':'2de3f685-b8d1-44e4-89cd-024d436ffa19'",",'Col':",COLUMN(BCHoatDongVay_06119!D10),",'Row':",ROW(BCHoatDongVay_06119!D10),",","'Format':'numberic'",",'Value':'",SUBSTITUTE(BCHoatDongVay_06119!D10,"'","\'"),"','TargetCode':''}")</f>
        <v>{'SheetId':'96a68930-93e7-4b24-8c17-a871eda9a2bf','UId':'2de3f685-b8d1-44e4-89cd-024d436ffa19','Col':4,'Row':10,'Format':'numberic','Value':' ','TargetCode':''}</v>
      </c>
    </row>
    <row r="353" ht="12.75">
      <c r="A353" t="str">
        <f>CONCATENATE("{'SheetId':'96a68930-93e7-4b24-8c17-a871eda9a2bf'",",","'UId':'fb70efa6-ddef-4212-9973-d63eb8b3b125'",",'Col':",COLUMN(BCHoatDongVay_06119!E10),",'Row':",ROW(BCHoatDongVay_06119!E10),",","'Format':'numberic'",",'Value':'",SUBSTITUTE(BCHoatDongVay_06119!E10,"'","\'"),"','TargetCode':''}")</f>
        <v>{'SheetId':'96a68930-93e7-4b24-8c17-a871eda9a2bf','UId':'fb70efa6-ddef-4212-9973-d63eb8b3b125','Col':5,'Row':10,'Format':'numberic','Value':' ','TargetCode':''}</v>
      </c>
    </row>
    <row r="354" ht="12.75">
      <c r="A354" t="str">
        <f>CONCATENATE("{'SheetId':'96a68930-93e7-4b24-8c17-a871eda9a2bf'",",","'UId':'5669ec50-7c39-4167-a93a-b9d3af78e454'",",'Col':",COLUMN(BCHoatDongVay_06119!F10),",'Row':",ROW(BCHoatDongVay_06119!F10),",","'Format':'numberic'",",'Value':'",SUBSTITUTE(BCHoatDongVay_06119!F10,"'","\'"),"','TargetCode':''}")</f>
        <v>{'SheetId':'96a68930-93e7-4b24-8c17-a871eda9a2bf','UId':'5669ec50-7c39-4167-a93a-b9d3af78e454','Col':6,'Row':10,'Format':'numberic','Value':' ','TargetCode':''}</v>
      </c>
    </row>
    <row r="355" ht="12.75">
      <c r="A355" t="str">
        <f>CONCATENATE("{'SheetId':'96a68930-93e7-4b24-8c17-a871eda9a2bf'",",","'UId':'d7041842-f132-4fcf-9ed9-4c9cc74a6157'",",'Col':",COLUMN(BCHoatDongVay_06119!G10),",'Row':",ROW(BCHoatDongVay_06119!G10),",","'Format':'numberic'",",'Value':'",SUBSTITUTE(BCHoatDongVay_06119!G10,"'","\'"),"','TargetCode':''}")</f>
        <v>{'SheetId':'96a68930-93e7-4b24-8c17-a871eda9a2bf','UId':'d7041842-f132-4fcf-9ed9-4c9cc74a6157','Col':7,'Row':10,'Format':'numberic','Value':' ','TargetCode':''}</v>
      </c>
    </row>
    <row r="356" ht="12.75">
      <c r="A356" t="str">
        <f>CONCATENATE("{'SheetId':'96a68930-93e7-4b24-8c17-a871eda9a2bf'",",","'UId':'ebb9ccb0-f18b-4880-8c87-1bf02a974bd1'",",'Col':",COLUMN(BCHoatDongVay_06119!H10),",'Row':",ROW(BCHoatDongVay_06119!H10),",","'Format':'string'",",'Value':'",SUBSTITUTE(BCHoatDongVay_06119!H10,"'","\'"),"','TargetCode':''}")</f>
        <v>{'SheetId':'96a68930-93e7-4b24-8c17-a871eda9a2bf','UId':'ebb9ccb0-f18b-4880-8c87-1bf02a974bd1','Col':8,'Row':10,'Format':'string','Value':' ','TargetCode':''}</v>
      </c>
    </row>
    <row r="357" ht="12.75">
      <c r="A357" t="str">
        <f>CONCATENATE("{'SheetId':'96a68930-93e7-4b24-8c17-a871eda9a2bf'",",","'UId':'a2f0ad5a-cb00-41f1-b799-18c358b6c09b'",",'Col':",COLUMN(BCHoatDongVay_06119!I10),",'Row':",ROW(BCHoatDongVay_06119!I10),",","'Format':'numberic'",",'Value':'",SUBSTITUTE(BCHoatDongVay_06119!I10,"'","\'"),"','TargetCode':''}")</f>
        <v>{'SheetId':'96a68930-93e7-4b24-8c17-a871eda9a2bf','UId':'a2f0ad5a-cb00-41f1-b799-18c358b6c09b','Col':9,'Row':10,'Format':'numberic','Value':' ','TargetCode':''}</v>
      </c>
    </row>
    <row r="358" ht="12.75">
      <c r="A358" t="str">
        <f>CONCATENATE("{'SheetId':'96a68930-93e7-4b24-8c17-a871eda9a2bf'",",","'UId':'3f861717-2951-4fb3-9719-932d33a173a6'",",'Col':",COLUMN(BCHoatDongVay_06119!J10),",'Row':",ROW(BCHoatDongVay_06119!J10),",","'Format':'string'",",'Value':'",SUBSTITUTE(BCHoatDongVay_06119!J10,"'","\'"),"','TargetCode':''}")</f>
        <v>{'SheetId':'96a68930-93e7-4b24-8c17-a871eda9a2bf','UId':'3f861717-2951-4fb3-9719-932d33a173a6','Col':10,'Row':10,'Format':'string','Value':' ','TargetCode':''}</v>
      </c>
    </row>
    <row r="359" ht="12.75">
      <c r="A359" t="str">
        <f>CONCATENATE("{'SheetId':'96a68930-93e7-4b24-8c17-a871eda9a2bf'",",","'UId':'defcfbf0-078a-4591-9263-31b47bc17742'",",'Col':",COLUMN(BCHoatDongVay_06119!K10),",'Row':",ROW(BCHoatDongVay_06119!K10),",","'Format':'numberic'",",'Value':'",SUBSTITUTE(BCHoatDongVay_06119!K10,"'","\'"),"','TargetCode':''}")</f>
        <v>{'SheetId':'96a68930-93e7-4b24-8c17-a871eda9a2bf','UId':'defcfbf0-078a-4591-9263-31b47bc17742','Col':11,'Row':10,'Format':'numberic','Value':' ','TargetCode':''}</v>
      </c>
    </row>
    <row r="360" ht="12.75">
      <c r="A360" t="str">
        <f>CONCATENATE("{'SheetId':'96a68930-93e7-4b24-8c17-a871eda9a2bf'",",","'UId':'8973d13d-776d-470a-bfcc-9c1881179195'",",'Col':",COLUMN(BCHoatDongVay_06119!D11),",'Row':",ROW(BCHoatDongVay_06119!D11),",","'Format':'string'",",'Value':'",SUBSTITUTE(BCHoatDongVay_06119!D11,"'","\'"),"','TargetCode':''}")</f>
        <v>{'SheetId':'96a68930-93e7-4b24-8c17-a871eda9a2bf','UId':'8973d13d-776d-470a-bfcc-9c1881179195','Col':4,'Row':11,'Format':'string','Value':' ','TargetCode':''}</v>
      </c>
    </row>
    <row r="361" ht="12.75">
      <c r="A361" t="str">
        <f>CONCATENATE("{'SheetId':'96a68930-93e7-4b24-8c17-a871eda9a2bf'",",","'UId':'ea84e237-a338-41d0-9395-90f430f390cc'",",'Col':",COLUMN(BCHoatDongVay_06119!E11),",'Row':",ROW(BCHoatDongVay_06119!E11),",","'Format':'string'",",'Value':'",SUBSTITUTE(BCHoatDongVay_06119!E11,"'","\'"),"','TargetCode':''}")</f>
        <v>{'SheetId':'96a68930-93e7-4b24-8c17-a871eda9a2bf','UId':'ea84e237-a338-41d0-9395-90f430f390cc','Col':5,'Row':11,'Format':'string','Value':' ','TargetCode':''}</v>
      </c>
    </row>
    <row r="362" ht="12.75">
      <c r="A362" t="str">
        <f>CONCATENATE("{'SheetId':'96a68930-93e7-4b24-8c17-a871eda9a2bf'",",","'UId':'61b144cb-c882-448a-83ea-157239a60929'",",'Col':",COLUMN(BCHoatDongVay_06119!F11),",'Row':",ROW(BCHoatDongVay_06119!F11),",","'Format':'string'",",'Value':'",SUBSTITUTE(BCHoatDongVay_06119!F11,"'","\'"),"','TargetCode':''}")</f>
        <v>{'SheetId':'96a68930-93e7-4b24-8c17-a871eda9a2bf','UId':'61b144cb-c882-448a-83ea-157239a60929','Col':6,'Row':11,'Format':'string','Value':' ','TargetCode':''}</v>
      </c>
    </row>
    <row r="363" ht="12.75">
      <c r="A363" t="str">
        <f>CONCATENATE("{'SheetId':'96a68930-93e7-4b24-8c17-a871eda9a2bf'",",","'UId':'d32ab2b3-3976-40df-9256-a4a3f7940839'",",'Col':",COLUMN(BCHoatDongVay_06119!G11),",'Row':",ROW(BCHoatDongVay_06119!G11),",","'Format':'numberic'",",'Value':'",SUBSTITUTE(BCHoatDongVay_06119!G11,"'","\'"),"','TargetCode':''}")</f>
        <v>{'SheetId':'96a68930-93e7-4b24-8c17-a871eda9a2bf','UId':'d32ab2b3-3976-40df-9256-a4a3f7940839','Col':7,'Row':11,'Format':'numberic','Value':' ','TargetCode':''}</v>
      </c>
    </row>
    <row r="364" ht="12.75">
      <c r="A364" t="str">
        <f>CONCATENATE("{'SheetId':'96a68930-93e7-4b24-8c17-a871eda9a2bf'",",","'UId':'07ce8149-ecce-42b4-9714-1abd30f36843'",",'Col':",COLUMN(BCHoatDongVay_06119!H11),",'Row':",ROW(BCHoatDongVay_06119!H11),",","'Format':'string'",",'Value':'",SUBSTITUTE(BCHoatDongVay_06119!H11,"'","\'"),"','TargetCode':''}")</f>
        <v>{'SheetId':'96a68930-93e7-4b24-8c17-a871eda9a2bf','UId':'07ce8149-ecce-42b4-9714-1abd30f36843','Col':8,'Row':11,'Format':'string','Value':' ','TargetCode':''}</v>
      </c>
    </row>
    <row r="365" ht="12.75">
      <c r="A365" t="str">
        <f>CONCATENATE("{'SheetId':'96a68930-93e7-4b24-8c17-a871eda9a2bf'",",","'UId':'a346763f-87dd-4b11-b58e-ac1eecd614ad'",",'Col':",COLUMN(BCHoatDongVay_06119!I11),",'Row':",ROW(BCHoatDongVay_06119!I11),",","'Format':'numberic'",",'Value':'",SUBSTITUTE(BCHoatDongVay_06119!I11,"'","\'"),"','TargetCode':''}")</f>
        <v>{'SheetId':'96a68930-93e7-4b24-8c17-a871eda9a2bf','UId':'a346763f-87dd-4b11-b58e-ac1eecd614ad','Col':9,'Row':11,'Format':'numberic','Value':' ','TargetCode':''}</v>
      </c>
    </row>
    <row r="366" ht="12.75">
      <c r="A366" t="str">
        <f>CONCATENATE("{'SheetId':'96a68930-93e7-4b24-8c17-a871eda9a2bf'",",","'UId':'c1abc8c9-f3ef-48ba-ae31-c428796977ad'",",'Col':",COLUMN(BCHoatDongVay_06119!J11),",'Row':",ROW(BCHoatDongVay_06119!J11),",","'Format':'string'",",'Value':'",SUBSTITUTE(BCHoatDongVay_06119!J11,"'","\'"),"','TargetCode':''}")</f>
        <v>{'SheetId':'96a68930-93e7-4b24-8c17-a871eda9a2bf','UId':'c1abc8c9-f3ef-48ba-ae31-c428796977ad','Col':10,'Row':11,'Format':'string','Value':' ','TargetCode':''}</v>
      </c>
    </row>
    <row r="367" ht="12.75">
      <c r="A367" t="str">
        <f>CONCATENATE("{'SheetId':'96a68930-93e7-4b24-8c17-a871eda9a2bf'",",","'UId':'9aaadd54-d5ba-4b89-a3bf-e9b9e55f5675'",",'Col':",COLUMN(BCHoatDongVay_06119!K11),",'Row':",ROW(BCHoatDongVay_06119!K11),",","'Format':'numberic'",",'Value':'",SUBSTITUTE(BCHoatDongVay_06119!K11,"'","\'"),"','TargetCode':''}")</f>
        <v>{'SheetId':'96a68930-93e7-4b24-8c17-a871eda9a2bf','UId':'9aaadd54-d5ba-4b89-a3bf-e9b9e55f5675','Col':11,'Row':11,'Format':'numberic','Value':' ','TargetCode':''}</v>
      </c>
    </row>
    <row r="368" ht="12.75">
      <c r="A368" t="str">
        <f>CONCATENATE("{'SheetId':'96a68930-93e7-4b24-8c17-a871eda9a2bf'",",","'UId':'21fa3b47-d46c-4a14-80de-e08fc6073410'",",'Col':",COLUMN(BCHoatDongVay_06119!D12),",'Row':",ROW(BCHoatDongVay_06119!D12),",","'Format':'string'",",'Value':'",SUBSTITUTE(BCHoatDongVay_06119!D12,"'","\'"),"','TargetCode':''}")</f>
        <v>{'SheetId':'96a68930-93e7-4b24-8c17-a871eda9a2bf','UId':'21fa3b47-d46c-4a14-80de-e08fc6073410','Col':4,'Row':12,'Format':'string','Value':' ','TargetCode':''}</v>
      </c>
    </row>
    <row r="369" ht="12.75">
      <c r="A369" t="str">
        <f>CONCATENATE("{'SheetId':'96a68930-93e7-4b24-8c17-a871eda9a2bf'",",","'UId':'3bd1c6a5-cc4c-4990-a37c-8fa101e2e3e4'",",'Col':",COLUMN(BCHoatDongVay_06119!E12),",'Row':",ROW(BCHoatDongVay_06119!E12),",","'Format':'string'",",'Value':'",SUBSTITUTE(BCHoatDongVay_06119!E12,"'","\'"),"','TargetCode':''}")</f>
        <v>{'SheetId':'96a68930-93e7-4b24-8c17-a871eda9a2bf','UId':'3bd1c6a5-cc4c-4990-a37c-8fa101e2e3e4','Col':5,'Row':12,'Format':'string','Value':' ','TargetCode':''}</v>
      </c>
    </row>
    <row r="370" ht="12.75">
      <c r="A370" t="str">
        <f>CONCATENATE("{'SheetId':'96a68930-93e7-4b24-8c17-a871eda9a2bf'",",","'UId':'47b8bcbe-9baf-4d59-b706-8405bd489550'",",'Col':",COLUMN(BCHoatDongVay_06119!F12),",'Row':",ROW(BCHoatDongVay_06119!F12),",","'Format':'string'",",'Value':'",SUBSTITUTE(BCHoatDongVay_06119!F12,"'","\'"),"','TargetCode':''}")</f>
        <v>{'SheetId':'96a68930-93e7-4b24-8c17-a871eda9a2bf','UId':'47b8bcbe-9baf-4d59-b706-8405bd489550','Col':6,'Row':12,'Format':'string','Value':' ','TargetCode':''}</v>
      </c>
    </row>
    <row r="371" ht="12.75">
      <c r="A371" t="str">
        <f>CONCATENATE("{'SheetId':'96a68930-93e7-4b24-8c17-a871eda9a2bf'",",","'UId':'3cbd3e5d-1bbb-40cb-b8b7-f518ff9c5a81'",",'Col':",COLUMN(BCHoatDongVay_06119!G12),",'Row':",ROW(BCHoatDongVay_06119!G12),",","'Format':'numberic'",",'Value':'",SUBSTITUTE(BCHoatDongVay_06119!G12,"'","\'"),"','TargetCode':''}")</f>
        <v>{'SheetId':'96a68930-93e7-4b24-8c17-a871eda9a2bf','UId':'3cbd3e5d-1bbb-40cb-b8b7-f518ff9c5a81','Col':7,'Row':12,'Format':'numberic','Value':' ','TargetCode':''}</v>
      </c>
    </row>
    <row r="372" ht="12.75">
      <c r="A372" t="str">
        <f>CONCATENATE("{'SheetId':'96a68930-93e7-4b24-8c17-a871eda9a2bf'",",","'UId':'b3bbd613-7030-4e35-9e7e-222b93e8e848'",",'Col':",COLUMN(BCHoatDongVay_06119!H12),",'Row':",ROW(BCHoatDongVay_06119!H12),",","'Format':'string'",",'Value':'",SUBSTITUTE(BCHoatDongVay_06119!H12,"'","\'"),"','TargetCode':''}")</f>
        <v>{'SheetId':'96a68930-93e7-4b24-8c17-a871eda9a2bf','UId':'b3bbd613-7030-4e35-9e7e-222b93e8e848','Col':8,'Row':12,'Format':'string','Value':' ','TargetCode':''}</v>
      </c>
    </row>
    <row r="373" ht="12.75">
      <c r="A373" t="str">
        <f>CONCATENATE("{'SheetId':'96a68930-93e7-4b24-8c17-a871eda9a2bf'",",","'UId':'ac7f7d72-428f-47fd-8389-55fc222f59f5'",",'Col':",COLUMN(BCHoatDongVay_06119!I12),",'Row':",ROW(BCHoatDongVay_06119!I12),",","'Format':'numberic'",",'Value':'",SUBSTITUTE(BCHoatDongVay_06119!I12,"'","\'"),"','TargetCode':''}")</f>
        <v>{'SheetId':'96a68930-93e7-4b24-8c17-a871eda9a2bf','UId':'ac7f7d72-428f-47fd-8389-55fc222f59f5','Col':9,'Row':12,'Format':'numberic','Value':' ','TargetCode':''}</v>
      </c>
    </row>
    <row r="374" ht="12.75">
      <c r="A374" t="str">
        <f>CONCATENATE("{'SheetId':'96a68930-93e7-4b24-8c17-a871eda9a2bf'",",","'UId':'6d784c35-9510-4ed7-868e-2d4f8c976aca'",",'Col':",COLUMN(BCHoatDongVay_06119!J12),",'Row':",ROW(BCHoatDongVay_06119!J12),",","'Format':'string'",",'Value':'",SUBSTITUTE(BCHoatDongVay_06119!J12,"'","\'"),"','TargetCode':''}")</f>
        <v>{'SheetId':'96a68930-93e7-4b24-8c17-a871eda9a2bf','UId':'6d784c35-9510-4ed7-868e-2d4f8c976aca','Col':10,'Row':12,'Format':'string','Value':' ','TargetCode':''}</v>
      </c>
    </row>
    <row r="375" ht="12.75">
      <c r="A375" t="str">
        <f>CONCATENATE("{'SheetId':'96a68930-93e7-4b24-8c17-a871eda9a2bf'",",","'UId':'d520b971-5b6f-4129-9e2e-22e85e646a01'",",'Col':",COLUMN(BCHoatDongVay_06119!K12),",'Row':",ROW(BCHoatDongVay_06119!K12),",","'Format':'numberic'",",'Value':'",SUBSTITUTE(BCHoatDongVay_06119!K12,"'","\'"),"','TargetCode':''}")</f>
        <v>{'SheetId':'96a68930-93e7-4b24-8c17-a871eda9a2bf','UId':'d520b971-5b6f-4129-9e2e-22e85e646a01','Col':11,'Row':12,'Format':'numberic','Value':' ','TargetCode':''}</v>
      </c>
    </row>
    <row r="376" ht="12.75">
      <c r="A376" t="str">
        <f>CONCATENATE("{'SheetId':'96a68930-93e7-4b24-8c17-a871eda9a2bf'",",","'UId':'5649acd9-ebee-4009-ae18-ddca73bc0a25'",",'Col':",COLUMN(BCHoatDongVay_06119!A14),",'Row':",ROW(BCHoatDongVay_06119!A14),",","'ColDynamic':",COLUMN(BCHoatDongVay_06119!A13),",","'RowDynamic':",ROW(BCHoatDongVay_06119!A13),",","'Format':'numberic'",",'Value':'",SUBSTITUTE(BCHoatDongVay_06119!A14,"'","\'"),"','TargetCode':''}")</f>
        <v>{'SheetId':'96a68930-93e7-4b24-8c17-a871eda9a2bf','UId':'5649acd9-ebee-4009-ae18-ddca73bc0a25','Col':1,'Row':14,'ColDynamic':1,'RowDynamic':13,'Format':'numberic','Value':'','TargetCode':''}</v>
      </c>
    </row>
    <row r="377" ht="12.75">
      <c r="A377" t="str">
        <f>CONCATENATE("{'SheetId':'96a68930-93e7-4b24-8c17-a871eda9a2bf'",",","'UId':'ba270d50-96e4-45e3-95d1-a1b21a09a099'",",'Col':",COLUMN(BCHoatDongVay_06119!B14),",'Row':",ROW(BCHoatDongVay_06119!B14),",","'ColDynamic':",COLUMN(BCHoatDongVay_06119!B13),",","'RowDynamic':",ROW(BCHoatDongVay_06119!B13),",","'Format':'string'",",'Value':'",SUBSTITUTE(BCHoatDongVay_06119!B14,"'","\'"),"','TargetCode':''}")</f>
        <v>{'SheetId':'96a68930-93e7-4b24-8c17-a871eda9a2bf','UId':'ba270d50-96e4-45e3-95d1-a1b21a09a099','Col':2,'Row':14,'ColDynamic':2,'RowDynamic':13,'Format':'string','Value':'...','TargetCode':''}</v>
      </c>
    </row>
    <row r="378" ht="12.75">
      <c r="A378" t="str">
        <f>CONCATENATE("{'SheetId':'96a68930-93e7-4b24-8c17-a871eda9a2bf'",",","'UId':'db24d1b6-bcd6-4405-87d8-b82050183567'",",'Col':",COLUMN(BCHoatDongVay_06119!C14),",'Row':",ROW(BCHoatDongVay_06119!C14),",","'ColDynamic':",COLUMN(BCHoatDongVay_06119!C13),",","'RowDynamic':",ROW(BCHoatDongVay_06119!C13),",","'Format':'numberic'",",'Value':'",SUBSTITUTE(BCHoatDongVay_06119!C14,"'","\'"),"','TargetCode':''}")</f>
        <v>{'SheetId':'96a68930-93e7-4b24-8c17-a871eda9a2bf','UId':'db24d1b6-bcd6-4405-87d8-b82050183567','Col':3,'Row':14,'ColDynamic':3,'RowDynamic':13,'Format':'numberic','Value':'','TargetCode':''}</v>
      </c>
    </row>
    <row r="379" ht="12.75">
      <c r="A379" t="str">
        <f>CONCATENATE("{'SheetId':'96a68930-93e7-4b24-8c17-a871eda9a2bf'",",","'UId':'2c367ca5-f054-4760-902d-8401d14065bf'",",'Col':",COLUMN(BCHoatDongVay_06119!D14),",'Row':",ROW(BCHoatDongVay_06119!D14),",","'ColDynamic':",COLUMN(BCHoatDongVay_06119!D13),",","'RowDynamic':",ROW(BCHoatDongVay_06119!D13),",","'Format':'string'",",'Value':'",SUBSTITUTE(BCHoatDongVay_06119!D14,"'","\'"),"','TargetCode':''}")</f>
        <v>{'SheetId':'96a68930-93e7-4b24-8c17-a871eda9a2bf','UId':'2c367ca5-f054-4760-902d-8401d14065bf','Col':4,'Row':14,'ColDynamic':4,'RowDynamic':13,'Format':'string','Value':' ','TargetCode':''}</v>
      </c>
    </row>
    <row r="380" ht="12.75">
      <c r="A380" t="str">
        <f>CONCATENATE("{'SheetId':'96a68930-93e7-4b24-8c17-a871eda9a2bf'",",","'UId':'6bfd4b0a-7d85-4818-a058-0c1fb7d5151d'",",'Col':",COLUMN(BCHoatDongVay_06119!E14),",'Row':",ROW(BCHoatDongVay_06119!E14),",","'ColDynamic':",COLUMN(BCHoatDongVay_06119!E13),",","'RowDynamic':",ROW(BCHoatDongVay_06119!E13),",","'Format':'string'",",'Value':'",SUBSTITUTE(BCHoatDongVay_06119!E14,"'","\'"),"','TargetCode':''}")</f>
        <v>{'SheetId':'96a68930-93e7-4b24-8c17-a871eda9a2bf','UId':'6bfd4b0a-7d85-4818-a058-0c1fb7d5151d','Col':5,'Row':14,'ColDynamic':5,'RowDynamic':13,'Format':'string','Value':' ','TargetCode':''}</v>
      </c>
    </row>
    <row r="381" ht="12.75">
      <c r="A381" t="str">
        <f>CONCATENATE("{'SheetId':'96a68930-93e7-4b24-8c17-a871eda9a2bf'",",","'UId':'ea2093c7-2b51-44f0-b41c-1bbe6b51c4fb'",",'Col':",COLUMN(BCHoatDongVay_06119!F14),",'Row':",ROW(BCHoatDongVay_06119!F14),",","'ColDynamic':",COLUMN(BCHoatDongVay_06119!F13),",","'RowDynamic':",ROW(BCHoatDongVay_06119!F13),",","'Format':'string'",",'Value':'",SUBSTITUTE(BCHoatDongVay_06119!F14,"'","\'"),"','TargetCode':''}")</f>
        <v>{'SheetId':'96a68930-93e7-4b24-8c17-a871eda9a2bf','UId':'ea2093c7-2b51-44f0-b41c-1bbe6b51c4fb','Col':6,'Row':14,'ColDynamic':6,'RowDynamic':13,'Format':'string','Value':' ','TargetCode':''}</v>
      </c>
    </row>
    <row r="382" ht="12.75">
      <c r="A382" t="str">
        <f>CONCATENATE("{'SheetId':'96a68930-93e7-4b24-8c17-a871eda9a2bf'",",","'UId':'1398a341-85f7-4009-a22c-754a79cfa383'",",'Col':",COLUMN(BCHoatDongVay_06119!G14),",'Row':",ROW(BCHoatDongVay_06119!G14),",","'ColDynamic':",COLUMN(BCHoatDongVay_06119!G13),",","'RowDynamic':",ROW(BCHoatDongVay_06119!G13),",","'Format':'numberic'",",'Value':'",SUBSTITUTE(BCHoatDongVay_06119!G14,"'","\'"),"','TargetCode':''}")</f>
        <v>{'SheetId':'96a68930-93e7-4b24-8c17-a871eda9a2bf','UId':'1398a341-85f7-4009-a22c-754a79cfa383','Col':7,'Row':14,'ColDynamic':7,'RowDynamic':13,'Format':'numberic','Value':' ','TargetCode':''}</v>
      </c>
    </row>
    <row r="383" ht="12.75">
      <c r="A383" t="str">
        <f>CONCATENATE("{'SheetId':'96a68930-93e7-4b24-8c17-a871eda9a2bf'",",","'UId':'2534acb3-a26c-490e-ac86-6295251c5b29'",",'Col':",COLUMN(BCHoatDongVay_06119!H14),",'Row':",ROW(BCHoatDongVay_06119!H14),",","'ColDynamic':",COLUMN(BCHoatDongVay_06119!H13),",","'RowDynamic':",ROW(BCHoatDongVay_06119!H13),",","'Format':'string'",",'Value':'",SUBSTITUTE(BCHoatDongVay_06119!H14,"'","\'"),"','TargetCode':''}")</f>
        <v>{'SheetId':'96a68930-93e7-4b24-8c17-a871eda9a2bf','UId':'2534acb3-a26c-490e-ac86-6295251c5b29','Col':8,'Row':14,'ColDynamic':8,'RowDynamic':13,'Format':'string','Value':' ','TargetCode':''}</v>
      </c>
    </row>
    <row r="384" ht="12.75">
      <c r="A384" t="str">
        <f>CONCATENATE("{'SheetId':'96a68930-93e7-4b24-8c17-a871eda9a2bf'",",","'UId':'0d7fdfcf-b0d7-44fb-b490-f7bb066062bc'",",'Col':",COLUMN(BCHoatDongVay_06119!I14),",'Row':",ROW(BCHoatDongVay_06119!I14),",","'ColDynamic':",COLUMN(BCHoatDongVay_06119!I13),",","'RowDynamic':",ROW(BCHoatDongVay_06119!I13),",","'Format':'numberic'",",'Value':'",SUBSTITUTE(BCHoatDongVay_06119!I14,"'","\'"),"','TargetCode':''}")</f>
        <v>{'SheetId':'96a68930-93e7-4b24-8c17-a871eda9a2bf','UId':'0d7fdfcf-b0d7-44fb-b490-f7bb066062bc','Col':9,'Row':14,'ColDynamic':9,'RowDynamic':13,'Format':'numberic','Value':' ','TargetCode':''}</v>
      </c>
    </row>
    <row r="385" ht="12.75">
      <c r="A385" t="str">
        <f>CONCATENATE("{'SheetId':'96a68930-93e7-4b24-8c17-a871eda9a2bf'",",","'UId':'e3de5909-764a-4e8f-8a74-84dd4bc78b45'",",'Col':",COLUMN(BCHoatDongVay_06119!J14),",'Row':",ROW(BCHoatDongVay_06119!J14),",","'ColDynamic':",COLUMN(BCHoatDongVay_06119!J13),",","'RowDynamic':",ROW(BCHoatDongVay_06119!J13),",","'Format':'string'",",'Value':'",SUBSTITUTE(BCHoatDongVay_06119!J14,"'","\'"),"','TargetCode':''}")</f>
        <v>{'SheetId':'96a68930-93e7-4b24-8c17-a871eda9a2bf','UId':'e3de5909-764a-4e8f-8a74-84dd4bc78b45','Col':10,'Row':14,'ColDynamic':10,'RowDynamic':13,'Format':'string','Value':' ','TargetCode':''}</v>
      </c>
    </row>
    <row r="386" ht="12.75">
      <c r="A386" t="str">
        <f>CONCATENATE("{'SheetId':'96a68930-93e7-4b24-8c17-a871eda9a2bf'",",","'UId':'24ed0cbe-1d57-4404-93ea-4c3de4e83feb'",",'Col':",COLUMN(BCHoatDongVay_06119!K14),",'Row':",ROW(BCHoatDongVay_06119!K14),",","'ColDynamic':",COLUMN(BCHoatDongVay_06119!K13),",","'RowDynamic':",ROW(BCHoatDongVay_06119!K13),",","'Format':'numberic'",",'Value':'",SUBSTITUTE(BCHoatDongVay_06119!K14,"'","\'"),"','TargetCode':''}")</f>
        <v>{'SheetId':'96a68930-93e7-4b24-8c17-a871eda9a2bf','UId':'24ed0cbe-1d57-4404-93ea-4c3de4e83feb','Col':11,'Row':14,'ColDynamic':11,'RowDynamic':13,'Format':'numberic','Value':' ','TargetCode':''}</v>
      </c>
    </row>
    <row r="387" ht="12.75">
      <c r="A387" t="str">
        <f>CONCATENATE("{'SheetId':'96a68930-93e7-4b24-8c17-a871eda9a2bf'",",","'UId':'5c595b4c-a5f6-4475-8c92-63f5af4a965c'",",'Col':",COLUMN(BCHoatDongVay_06119!D15),",'Row':",ROW(BCHoatDongVay_06119!D15),",","'Format':'string'",",'Value':'",SUBSTITUTE(BCHoatDongVay_06119!D15,"'","\'"),"','TargetCode':''}")</f>
        <v>{'SheetId':'96a68930-93e7-4b24-8c17-a871eda9a2bf','UId':'5c595b4c-a5f6-4475-8c92-63f5af4a965c','Col':4,'Row':15,'Format':'string','Value':' ','TargetCode':''}</v>
      </c>
    </row>
    <row r="388" ht="12.75">
      <c r="A388" t="str">
        <f>CONCATENATE("{'SheetId':'96a68930-93e7-4b24-8c17-a871eda9a2bf'",",","'UId':'ef709446-3029-4050-9cf6-c1a0ffce2045'",",'Col':",COLUMN(BCHoatDongVay_06119!E15),",'Row':",ROW(BCHoatDongVay_06119!E15),",","'Format':'string'",",'Value':'",SUBSTITUTE(BCHoatDongVay_06119!E15,"'","\'"),"','TargetCode':''}")</f>
        <v>{'SheetId':'96a68930-93e7-4b24-8c17-a871eda9a2bf','UId':'ef709446-3029-4050-9cf6-c1a0ffce2045','Col':5,'Row':15,'Format':'string','Value':' ','TargetCode':''}</v>
      </c>
    </row>
    <row r="389" ht="12.75">
      <c r="A389" t="str">
        <f>CONCATENATE("{'SheetId':'96a68930-93e7-4b24-8c17-a871eda9a2bf'",",","'UId':'21dba517-df18-4f48-899a-a35a5392a7b9'",",'Col':",COLUMN(BCHoatDongVay_06119!F15),",'Row':",ROW(BCHoatDongVay_06119!F15),",","'Format':'string'",",'Value':'",SUBSTITUTE(BCHoatDongVay_06119!F15,"'","\'"),"','TargetCode':''}")</f>
        <v>{'SheetId':'96a68930-93e7-4b24-8c17-a871eda9a2bf','UId':'21dba517-df18-4f48-899a-a35a5392a7b9','Col':6,'Row':15,'Format':'string','Value':' ','TargetCode':''}</v>
      </c>
    </row>
    <row r="390" ht="12.75">
      <c r="A390" t="str">
        <f>CONCATENATE("{'SheetId':'96a68930-93e7-4b24-8c17-a871eda9a2bf'",",","'UId':'be3375a0-bf21-4903-a3c4-409f2a15b77f'",",'Col':",COLUMN(BCHoatDongVay_06119!G15),",'Row':",ROW(BCHoatDongVay_06119!G15),",","'Format':'numberic'",",'Value':'",SUBSTITUTE(BCHoatDongVay_06119!G15,"'","\'"),"','TargetCode':''}")</f>
        <v>{'SheetId':'96a68930-93e7-4b24-8c17-a871eda9a2bf','UId':'be3375a0-bf21-4903-a3c4-409f2a15b77f','Col':7,'Row':15,'Format':'numberic','Value':' ','TargetCode':''}</v>
      </c>
    </row>
    <row r="391" ht="12.75">
      <c r="A391" t="str">
        <f>CONCATENATE("{'SheetId':'96a68930-93e7-4b24-8c17-a871eda9a2bf'",",","'UId':'31b6e3c5-d37e-4131-8df9-5b94c128b25e'",",'Col':",COLUMN(BCHoatDongVay_06119!H15),",'Row':",ROW(BCHoatDongVay_06119!H15),",","'Format':'string'",",'Value':'",SUBSTITUTE(BCHoatDongVay_06119!H15,"'","\'"),"','TargetCode':''}")</f>
        <v>{'SheetId':'96a68930-93e7-4b24-8c17-a871eda9a2bf','UId':'31b6e3c5-d37e-4131-8df9-5b94c128b25e','Col':8,'Row':15,'Format':'string','Value':' ','TargetCode':''}</v>
      </c>
    </row>
    <row r="392" ht="12.75">
      <c r="A392" t="str">
        <f>CONCATENATE("{'SheetId':'96a68930-93e7-4b24-8c17-a871eda9a2bf'",",","'UId':'7a945c16-8a27-432e-a610-6ecfb5407c23'",",'Col':",COLUMN(BCHoatDongVay_06119!I15),",'Row':",ROW(BCHoatDongVay_06119!I15),",","'Format':'numberic'",",'Value':'",SUBSTITUTE(BCHoatDongVay_06119!I15,"'","\'"),"','TargetCode':''}")</f>
        <v>{'SheetId':'96a68930-93e7-4b24-8c17-a871eda9a2bf','UId':'7a945c16-8a27-432e-a610-6ecfb5407c23','Col':9,'Row':15,'Format':'numberic','Value':' ','TargetCode':''}</v>
      </c>
    </row>
    <row r="393" ht="12.75">
      <c r="A393" t="str">
        <f>CONCATENATE("{'SheetId':'96a68930-93e7-4b24-8c17-a871eda9a2bf'",",","'UId':'407119c7-1af8-4808-9494-cd6593b082cb'",",'Col':",COLUMN(BCHoatDongVay_06119!J15),",'Row':",ROW(BCHoatDongVay_06119!J15),",","'Format':'string'",",'Value':'",SUBSTITUTE(BCHoatDongVay_06119!J15,"'","\'"),"','TargetCode':''}")</f>
        <v>{'SheetId':'96a68930-93e7-4b24-8c17-a871eda9a2bf','UId':'407119c7-1af8-4808-9494-cd6593b082cb','Col':10,'Row':15,'Format':'string','Value':' ','TargetCode':''}</v>
      </c>
    </row>
    <row r="394" ht="12.75">
      <c r="A394" t="str">
        <f>CONCATENATE("{'SheetId':'96a68930-93e7-4b24-8c17-a871eda9a2bf'",",","'UId':'d3f614db-fbf8-4925-8757-60d2f4fff7cc'",",'Col':",COLUMN(BCHoatDongVay_06119!K15),",'Row':",ROW(BCHoatDongVay_06119!K15),",","'Format':'numberic'",",'Value':'",SUBSTITUTE(BCHoatDongVay_06119!K15,"'","\'"),"','TargetCode':''}")</f>
        <v>{'SheetId':'96a68930-93e7-4b24-8c17-a871eda9a2bf','UId':'d3f614db-fbf8-4925-8757-60d2f4fff7cc','Col':11,'Row':15,'Format':'numberic','Value':' ','TargetCode':''}</v>
      </c>
    </row>
    <row r="395" ht="12.75">
      <c r="A395" t="str">
        <f>CONCATENATE("{'SheetId':'96a68930-93e7-4b24-8c17-a871eda9a2bf'",",","'UId':'4cdc00cb-e6e9-4a2c-8ead-86fed071e794'",",'Col':",COLUMN(BCHoatDongVay_06119!D16),",'Row':",ROW(BCHoatDongVay_06119!D16),",","'Format':'string'",",'Value':'",SUBSTITUTE(BCHoatDongVay_06119!D16,"'","\'"),"','TargetCode':''}")</f>
        <v>{'SheetId':'96a68930-93e7-4b24-8c17-a871eda9a2bf','UId':'4cdc00cb-e6e9-4a2c-8ead-86fed071e794','Col':4,'Row':16,'Format':'string','Value':' ','TargetCode':''}</v>
      </c>
    </row>
    <row r="396" ht="12.75">
      <c r="A396" t="str">
        <f>CONCATENATE("{'SheetId':'96a68930-93e7-4b24-8c17-a871eda9a2bf'",",","'UId':'44883853-0193-49cf-81c4-fdcac61905fa'",",'Col':",COLUMN(BCHoatDongVay_06119!E16),",'Row':",ROW(BCHoatDongVay_06119!E16),",","'Format':'string'",",'Value':'",SUBSTITUTE(BCHoatDongVay_06119!E16,"'","\'"),"','TargetCode':''}")</f>
        <v>{'SheetId':'96a68930-93e7-4b24-8c17-a871eda9a2bf','UId':'44883853-0193-49cf-81c4-fdcac61905fa','Col':5,'Row':16,'Format':'string','Value':' ','TargetCode':''}</v>
      </c>
    </row>
    <row r="397" ht="12.75">
      <c r="A397" t="str">
        <f>CONCATENATE("{'SheetId':'96a68930-93e7-4b24-8c17-a871eda9a2bf'",",","'UId':'b1a6f0ef-3470-4367-99bc-c6a42c104b33'",",'Col':",COLUMN(BCHoatDongVay_06119!F16),",'Row':",ROW(BCHoatDongVay_06119!F16),",","'Format':'string'",",'Value':'",SUBSTITUTE(BCHoatDongVay_06119!F16,"'","\'"),"','TargetCode':''}")</f>
        <v>{'SheetId':'96a68930-93e7-4b24-8c17-a871eda9a2bf','UId':'b1a6f0ef-3470-4367-99bc-c6a42c104b33','Col':6,'Row':16,'Format':'string','Value':' ','TargetCode':''}</v>
      </c>
    </row>
    <row r="398" ht="12.75">
      <c r="A398" t="str">
        <f>CONCATENATE("{'SheetId':'96a68930-93e7-4b24-8c17-a871eda9a2bf'",",","'UId':'4d33d292-5cd8-4611-9399-541ad5a93091'",",'Col':",COLUMN(BCHoatDongVay_06119!G16),",'Row':",ROW(BCHoatDongVay_06119!G16),",","'Format':'numberic'",",'Value':'",SUBSTITUTE(BCHoatDongVay_06119!G16,"'","\'"),"','TargetCode':''}")</f>
        <v>{'SheetId':'96a68930-93e7-4b24-8c17-a871eda9a2bf','UId':'4d33d292-5cd8-4611-9399-541ad5a93091','Col':7,'Row':16,'Format':'numberic','Value':' ','TargetCode':''}</v>
      </c>
    </row>
    <row r="399" ht="12.75">
      <c r="A399" t="str">
        <f>CONCATENATE("{'SheetId':'96a68930-93e7-4b24-8c17-a871eda9a2bf'",",","'UId':'0afc8e09-2ae8-4648-98c0-a0d9d8173125'",",'Col':",COLUMN(BCHoatDongVay_06119!H16),",'Row':",ROW(BCHoatDongVay_06119!H16),",","'Format':'string'",",'Value':'",SUBSTITUTE(BCHoatDongVay_06119!H16,"'","\'"),"','TargetCode':''}")</f>
        <v>{'SheetId':'96a68930-93e7-4b24-8c17-a871eda9a2bf','UId':'0afc8e09-2ae8-4648-98c0-a0d9d8173125','Col':8,'Row':16,'Format':'string','Value':' ','TargetCode':''}</v>
      </c>
    </row>
    <row r="400" ht="12.75">
      <c r="A400" t="str">
        <f>CONCATENATE("{'SheetId':'96a68930-93e7-4b24-8c17-a871eda9a2bf'",",","'UId':'b25fdb7c-b807-482a-b29e-c05f820db46e'",",'Col':",COLUMN(BCHoatDongVay_06119!I16),",'Row':",ROW(BCHoatDongVay_06119!I16),",","'Format':'numberic'",",'Value':'",SUBSTITUTE(BCHoatDongVay_06119!I16,"'","\'"),"','TargetCode':''}")</f>
        <v>{'SheetId':'96a68930-93e7-4b24-8c17-a871eda9a2bf','UId':'b25fdb7c-b807-482a-b29e-c05f820db46e','Col':9,'Row':16,'Format':'numberic','Value':' ','TargetCode':''}</v>
      </c>
    </row>
    <row r="401" ht="12.75">
      <c r="A401" t="str">
        <f>CONCATENATE("{'SheetId':'96a68930-93e7-4b24-8c17-a871eda9a2bf'",",","'UId':'cdc35279-74a8-4a50-85ab-5767cc4fec34'",",'Col':",COLUMN(BCHoatDongVay_06119!J16),",'Row':",ROW(BCHoatDongVay_06119!J16),",","'Format':'string'",",'Value':'",SUBSTITUTE(BCHoatDongVay_06119!J16,"'","\'"),"','TargetCode':''}")</f>
        <v>{'SheetId':'96a68930-93e7-4b24-8c17-a871eda9a2bf','UId':'cdc35279-74a8-4a50-85ab-5767cc4fec34','Col':10,'Row':16,'Format':'string','Value':' ','TargetCode':''}</v>
      </c>
    </row>
    <row r="402" ht="12.75">
      <c r="A402" t="str">
        <f>CONCATENATE("{'SheetId':'96a68930-93e7-4b24-8c17-a871eda9a2bf'",",","'UId':'f2a6fc38-6f2e-4a53-9bbe-d20268898a4a'",",'Col':",COLUMN(BCHoatDongVay_06119!K16),",'Row':",ROW(BCHoatDongVay_06119!K16),",","'Format':'numberic'",",'Value':'",SUBSTITUTE(BCHoatDongVay_06119!K16,"'","\'"),"','TargetCode':''}")</f>
        <v>{'SheetId':'96a68930-93e7-4b24-8c17-a871eda9a2bf','UId':'f2a6fc38-6f2e-4a53-9bbe-d20268898a4a','Col':11,'Row':16,'Format':'numberic','Value':' ','TargetCode':''}</v>
      </c>
    </row>
    <row r="403" ht="12.75">
      <c r="A403" t="str">
        <f>CONCATENATE("{'SheetId':'96a68930-93e7-4b24-8c17-a871eda9a2bf'",",","'UId':'cc739748-1063-470e-8ce2-fe80a7cffc83'",",'Col':",COLUMN(BCHoatDongVay_06119!A18),",'Row':",ROW(BCHoatDongVay_06119!A18),",","'ColDynamic':",COLUMN(BCHoatDongVay_06119!A17),",","'RowDynamic':",ROW(BCHoatDongVay_06119!A17),",","'Format':'numberic'",",'Value':'",SUBSTITUTE(BCHoatDongVay_06119!A18,"'","\'"),"','TargetCode':''}")</f>
        <v>{'SheetId':'96a68930-93e7-4b24-8c17-a871eda9a2bf','UId':'cc739748-1063-470e-8ce2-fe80a7cffc83','Col':1,'Row':18,'ColDynamic':1,'RowDynamic':17,'Format':'numberic','Value':'','TargetCode':''}</v>
      </c>
    </row>
    <row r="404" ht="12.75">
      <c r="A404" t="str">
        <f>CONCATENATE("{'SheetId':'96a68930-93e7-4b24-8c17-a871eda9a2bf'",",","'UId':'c2a053f2-c9ce-497e-9312-601967a31b74'",",'Col':",COLUMN(BCHoatDongVay_06119!B18),",'Row':",ROW(BCHoatDongVay_06119!B18),",","'ColDynamic':",COLUMN(BCHoatDongVay_06119!B17),",","'RowDynamic':",ROW(BCHoatDongVay_06119!B17),",","'Format':'string'",",'Value':'",SUBSTITUTE(BCHoatDongVay_06119!B18,"'","\'"),"','TargetCode':''}")</f>
        <v>{'SheetId':'96a68930-93e7-4b24-8c17-a871eda9a2bf','UId':'c2a053f2-c9ce-497e-9312-601967a31b74','Col':2,'Row':18,'ColDynamic':2,'RowDynamic':17,'Format':'string','Value':'...','TargetCode':''}</v>
      </c>
    </row>
    <row r="405" ht="12.75">
      <c r="A405" t="str">
        <f>CONCATENATE("{'SheetId':'96a68930-93e7-4b24-8c17-a871eda9a2bf'",",","'UId':'cae23cba-aa38-4dfe-b8c4-783e9ea5dda7'",",'Col':",COLUMN(BCHoatDongVay_06119!C18),",'Row':",ROW(BCHoatDongVay_06119!C18),",","'ColDynamic':",COLUMN(BCHoatDongVay_06119!C17),",","'RowDynamic':",ROW(BCHoatDongVay_06119!C17),",","'Format':'numberic'",",'Value':'",SUBSTITUTE(BCHoatDongVay_06119!C18,"'","\'"),"','TargetCode':''}")</f>
        <v>{'SheetId':'96a68930-93e7-4b24-8c17-a871eda9a2bf','UId':'cae23cba-aa38-4dfe-b8c4-783e9ea5dda7','Col':3,'Row':18,'ColDynamic':3,'RowDynamic':17,'Format':'numberic','Value':'','TargetCode':''}</v>
      </c>
    </row>
    <row r="406" ht="12.75">
      <c r="A406" t="str">
        <f>CONCATENATE("{'SheetId':'96a68930-93e7-4b24-8c17-a871eda9a2bf'",",","'UId':'ec5e547b-bde7-4ab2-99e9-8244d0beaea4'",",'Col':",COLUMN(BCHoatDongVay_06119!D18),",'Row':",ROW(BCHoatDongVay_06119!D18),",","'ColDynamic':",COLUMN(BCHoatDongVay_06119!D17),",","'RowDynamic':",ROW(BCHoatDongVay_06119!D17),",","'Format':'string'",",'Value':'",SUBSTITUTE(BCHoatDongVay_06119!D18,"'","\'"),"','TargetCode':''}")</f>
        <v>{'SheetId':'96a68930-93e7-4b24-8c17-a871eda9a2bf','UId':'ec5e547b-bde7-4ab2-99e9-8244d0beaea4','Col':4,'Row':18,'ColDynamic':4,'RowDynamic':17,'Format':'string','Value':' ','TargetCode':''}</v>
      </c>
    </row>
    <row r="407" ht="12.75">
      <c r="A407" t="str">
        <f>CONCATENATE("{'SheetId':'96a68930-93e7-4b24-8c17-a871eda9a2bf'",",","'UId':'e9fb1998-b114-457e-96e6-c554f8e03b83'",",'Col':",COLUMN(BCHoatDongVay_06119!E18),",'Row':",ROW(BCHoatDongVay_06119!E18),",","'ColDynamic':",COLUMN(BCHoatDongVay_06119!E17),",","'RowDynamic':",ROW(BCHoatDongVay_06119!E17),",","'Format':'string'",",'Value':'",SUBSTITUTE(BCHoatDongVay_06119!E18,"'","\'"),"','TargetCode':''}")</f>
        <v>{'SheetId':'96a68930-93e7-4b24-8c17-a871eda9a2bf','UId':'e9fb1998-b114-457e-96e6-c554f8e03b83','Col':5,'Row':18,'ColDynamic':5,'RowDynamic':17,'Format':'string','Value':' ','TargetCode':''}</v>
      </c>
    </row>
    <row r="408" ht="12.75">
      <c r="A408" t="str">
        <f>CONCATENATE("{'SheetId':'96a68930-93e7-4b24-8c17-a871eda9a2bf'",",","'UId':'8bb84315-ebd9-497a-aa69-c91903594209'",",'Col':",COLUMN(BCHoatDongVay_06119!F18),",'Row':",ROW(BCHoatDongVay_06119!F18),",","'ColDynamic':",COLUMN(BCHoatDongVay_06119!F17),",","'RowDynamic':",ROW(BCHoatDongVay_06119!F17),",","'Format':'string'",",'Value':'",SUBSTITUTE(BCHoatDongVay_06119!F18,"'","\'"),"','TargetCode':''}")</f>
        <v>{'SheetId':'96a68930-93e7-4b24-8c17-a871eda9a2bf','UId':'8bb84315-ebd9-497a-aa69-c91903594209','Col':6,'Row':18,'ColDynamic':6,'RowDynamic':17,'Format':'string','Value':' ','TargetCode':''}</v>
      </c>
    </row>
    <row r="409" ht="12.75">
      <c r="A409" t="str">
        <f>CONCATENATE("{'SheetId':'96a68930-93e7-4b24-8c17-a871eda9a2bf'",",","'UId':'19866a8e-89fc-4179-93d5-2209d5ba2913'",",'Col':",COLUMN(BCHoatDongVay_06119!G18),",'Row':",ROW(BCHoatDongVay_06119!G18),",","'ColDynamic':",COLUMN(BCHoatDongVay_06119!G17),",","'RowDynamic':",ROW(BCHoatDongVay_06119!G17),",","'Format':'numberic'",",'Value':'",SUBSTITUTE(BCHoatDongVay_06119!G18,"'","\'"),"','TargetCode':''}")</f>
        <v>{'SheetId':'96a68930-93e7-4b24-8c17-a871eda9a2bf','UId':'19866a8e-89fc-4179-93d5-2209d5ba2913','Col':7,'Row':18,'ColDynamic':7,'RowDynamic':17,'Format':'numberic','Value':' ','TargetCode':''}</v>
      </c>
    </row>
    <row r="410" ht="12.75">
      <c r="A410" t="str">
        <f>CONCATENATE("{'SheetId':'96a68930-93e7-4b24-8c17-a871eda9a2bf'",",","'UId':'dfe83801-37c1-4c32-9327-191a8c105c1f'",",'Col':",COLUMN(BCHoatDongVay_06119!H18),",'Row':",ROW(BCHoatDongVay_06119!H18),",","'ColDynamic':",COLUMN(BCHoatDongVay_06119!H17),",","'RowDynamic':",ROW(BCHoatDongVay_06119!H17),",","'Format':'string'",",'Value':'",SUBSTITUTE(BCHoatDongVay_06119!H18,"'","\'"),"','TargetCode':''}")</f>
        <v>{'SheetId':'96a68930-93e7-4b24-8c17-a871eda9a2bf','UId':'dfe83801-37c1-4c32-9327-191a8c105c1f','Col':8,'Row':18,'ColDynamic':8,'RowDynamic':17,'Format':'string','Value':' ','TargetCode':''}</v>
      </c>
    </row>
    <row r="411" ht="12.75">
      <c r="A411" t="str">
        <f>CONCATENATE("{'SheetId':'96a68930-93e7-4b24-8c17-a871eda9a2bf'",",","'UId':'af6fd243-c35f-489b-8ded-c450b38f1b5a'",",'Col':",COLUMN(BCHoatDongVay_06119!I18),",'Row':",ROW(BCHoatDongVay_06119!I18),",","'ColDynamic':",COLUMN(BCHoatDongVay_06119!I17),",","'RowDynamic':",ROW(BCHoatDongVay_06119!I17),",","'Format':'numberic'",",'Value':'",SUBSTITUTE(BCHoatDongVay_06119!I18,"'","\'"),"','TargetCode':''}")</f>
        <v>{'SheetId':'96a68930-93e7-4b24-8c17-a871eda9a2bf','UId':'af6fd243-c35f-489b-8ded-c450b38f1b5a','Col':9,'Row':18,'ColDynamic':9,'RowDynamic':17,'Format':'numberic','Value':' ','TargetCode':''}</v>
      </c>
    </row>
    <row r="412" ht="12.75">
      <c r="A412" t="str">
        <f>CONCATENATE("{'SheetId':'96a68930-93e7-4b24-8c17-a871eda9a2bf'",",","'UId':'9ecc133e-b39b-4531-9ed4-090894de97fe'",",'Col':",COLUMN(BCHoatDongVay_06119!J18),",'Row':",ROW(BCHoatDongVay_06119!J18),",","'ColDynamic':",COLUMN(BCHoatDongVay_06119!J17),",","'RowDynamic':",ROW(BCHoatDongVay_06119!J17),",","'Format':'string'",",'Value':'",SUBSTITUTE(BCHoatDongVay_06119!J18,"'","\'"),"','TargetCode':''}")</f>
        <v>{'SheetId':'96a68930-93e7-4b24-8c17-a871eda9a2bf','UId':'9ecc133e-b39b-4531-9ed4-090894de97fe','Col':10,'Row':18,'ColDynamic':10,'RowDynamic':17,'Format':'string','Value':' ','TargetCode':''}</v>
      </c>
    </row>
    <row r="413" ht="12.75">
      <c r="A413" t="str">
        <f>CONCATENATE("{'SheetId':'96a68930-93e7-4b24-8c17-a871eda9a2bf'",",","'UId':'e2927173-3a83-43e6-a498-f5df2acfb029'",",'Col':",COLUMN(BCHoatDongVay_06119!K18),",'Row':",ROW(BCHoatDongVay_06119!K18),",","'ColDynamic':",COLUMN(BCHoatDongVay_06119!K17),",","'RowDynamic':",ROW(BCHoatDongVay_06119!K17),",","'Format':'numberic'",",'Value':'",SUBSTITUTE(BCHoatDongVay_06119!K18,"'","\'"),"','TargetCode':''}")</f>
        <v>{'SheetId':'96a68930-93e7-4b24-8c17-a871eda9a2bf','UId':'e2927173-3a83-43e6-a498-f5df2acfb029','Col':11,'Row':18,'ColDynamic':11,'RowDynamic':17,'Format':'numberic','Value':' ','TargetCode':''}</v>
      </c>
    </row>
    <row r="414" ht="12.75">
      <c r="A414" t="str">
        <f>CONCATENATE("{'SheetId':'96a68930-93e7-4b24-8c17-a871eda9a2bf'",",","'UId':'d006b1f6-cca9-4bea-83ae-4e885ee572a5'",",'Col':",COLUMN(BCHoatDongVay_06119!D19),",'Row':",ROW(BCHoatDongVay_06119!D19),",","'Format':'string'",",'Value':'",SUBSTITUTE(BCHoatDongVay_06119!D19,"'","\'"),"','TargetCode':''}")</f>
        <v>{'SheetId':'96a68930-93e7-4b24-8c17-a871eda9a2bf','UId':'d006b1f6-cca9-4bea-83ae-4e885ee572a5','Col':4,'Row':19,'Format':'string','Value':' ','TargetCode':''}</v>
      </c>
    </row>
    <row r="415" ht="12.75">
      <c r="A415" t="str">
        <f>CONCATENATE("{'SheetId':'96a68930-93e7-4b24-8c17-a871eda9a2bf'",",","'UId':'0405d240-eafa-4046-b298-7c0a0657ea42'",",'Col':",COLUMN(BCHoatDongVay_06119!E19),",'Row':",ROW(BCHoatDongVay_06119!E19),",","'Format':'string'",",'Value':'",SUBSTITUTE(BCHoatDongVay_06119!E19,"'","\'"),"','TargetCode':''}")</f>
        <v>{'SheetId':'96a68930-93e7-4b24-8c17-a871eda9a2bf','UId':'0405d240-eafa-4046-b298-7c0a0657ea42','Col':5,'Row':19,'Format':'string','Value':' ','TargetCode':''}</v>
      </c>
    </row>
    <row r="416" ht="12.75">
      <c r="A416" t="str">
        <f>CONCATENATE("{'SheetId':'96a68930-93e7-4b24-8c17-a871eda9a2bf'",",","'UId':'4b1555f4-f11d-4b16-bf59-c31cb88aed32'",",'Col':",COLUMN(BCHoatDongVay_06119!F19),",'Row':",ROW(BCHoatDongVay_06119!F19),",","'Format':'string'",",'Value':'",SUBSTITUTE(BCHoatDongVay_06119!F19,"'","\'"),"','TargetCode':''}")</f>
        <v>{'SheetId':'96a68930-93e7-4b24-8c17-a871eda9a2bf','UId':'4b1555f4-f11d-4b16-bf59-c31cb88aed32','Col':6,'Row':19,'Format':'string','Value':' ','TargetCode':''}</v>
      </c>
    </row>
    <row r="417" ht="12.75">
      <c r="A417" t="str">
        <f>CONCATENATE("{'SheetId':'96a68930-93e7-4b24-8c17-a871eda9a2bf'",",","'UId':'8d64f815-9363-42cc-a84b-1b0e3d22b5b4'",",'Col':",COLUMN(BCHoatDongVay_06119!G19),",'Row':",ROW(BCHoatDongVay_06119!G19),",","'Format':'numberic'",",'Value':'",SUBSTITUTE(BCHoatDongVay_06119!G19,"'","\'"),"','TargetCode':''}")</f>
        <v>{'SheetId':'96a68930-93e7-4b24-8c17-a871eda9a2bf','UId':'8d64f815-9363-42cc-a84b-1b0e3d22b5b4','Col':7,'Row':19,'Format':'numberic','Value':' ','TargetCode':''}</v>
      </c>
    </row>
    <row r="418" ht="12.75">
      <c r="A418" t="str">
        <f>CONCATENATE("{'SheetId':'96a68930-93e7-4b24-8c17-a871eda9a2bf'",",","'UId':'9490d002-a67a-4521-acc4-3ba3ceff3445'",",'Col':",COLUMN(BCHoatDongVay_06119!H19),",'Row':",ROW(BCHoatDongVay_06119!H19),",","'Format':'string'",",'Value':'",SUBSTITUTE(BCHoatDongVay_06119!H19,"'","\'"),"','TargetCode':''}")</f>
        <v>{'SheetId':'96a68930-93e7-4b24-8c17-a871eda9a2bf','UId':'9490d002-a67a-4521-acc4-3ba3ceff3445','Col':8,'Row':19,'Format':'string','Value':' ','TargetCode':''}</v>
      </c>
    </row>
    <row r="419" ht="12.75">
      <c r="A419" t="str">
        <f>CONCATENATE("{'SheetId':'96a68930-93e7-4b24-8c17-a871eda9a2bf'",",","'UId':'7bb7f58c-13d6-47b5-97a2-02fa12d139b6'",",'Col':",COLUMN(BCHoatDongVay_06119!I19),",'Row':",ROW(BCHoatDongVay_06119!I19),",","'Format':'numberic'",",'Value':'",SUBSTITUTE(BCHoatDongVay_06119!I19,"'","\'"),"','TargetCode':''}")</f>
        <v>{'SheetId':'96a68930-93e7-4b24-8c17-a871eda9a2bf','UId':'7bb7f58c-13d6-47b5-97a2-02fa12d139b6','Col':9,'Row':19,'Format':'numberic','Value':' ','TargetCode':''}</v>
      </c>
    </row>
    <row r="420" ht="12.75">
      <c r="A420" t="str">
        <f>CONCATENATE("{'SheetId':'96a68930-93e7-4b24-8c17-a871eda9a2bf'",",","'UId':'5efe11aa-1757-4db9-8dda-d6c8f256f788'",",'Col':",COLUMN(BCHoatDongVay_06119!J19),",'Row':",ROW(BCHoatDongVay_06119!J19),",","'Format':'string'",",'Value':'",SUBSTITUTE(BCHoatDongVay_06119!J19,"'","\'"),"','TargetCode':''}")</f>
        <v>{'SheetId':'96a68930-93e7-4b24-8c17-a871eda9a2bf','UId':'5efe11aa-1757-4db9-8dda-d6c8f256f788','Col':10,'Row':19,'Format':'string','Value':' ','TargetCode':''}</v>
      </c>
    </row>
    <row r="421" ht="12.75">
      <c r="A421" t="str">
        <f>CONCATENATE("{'SheetId':'96a68930-93e7-4b24-8c17-a871eda9a2bf'",",","'UId':'844a36c4-6091-4b5d-b76a-8a8263f8ef82'",",'Col':",COLUMN(BCHoatDongVay_06119!K19),",'Row':",ROW(BCHoatDongVay_06119!K19),",","'Format':'numberic'",",'Value':'",SUBSTITUTE(BCHoatDongVay_06119!K19,"'","\'"),"','TargetCode':''}")</f>
        <v>{'SheetId':'96a68930-93e7-4b24-8c17-a871eda9a2bf','UId':'844a36c4-6091-4b5d-b76a-8a8263f8ef82','Col':11,'Row':19,'Format':'numberic','Value':' ','TargetCode':''}</v>
      </c>
    </row>
    <row r="422" ht="12.75">
      <c r="A422" t="str">
        <f>CONCATENATE("{'SheetId':'96a68930-93e7-4b24-8c17-a871eda9a2bf'",",","'UId':'5bbfb09f-e460-462a-bfaf-769ff0ff37bc'",",'Col':",COLUMN(BCHoatDongVay_06119!D20),",'Row':",ROW(BCHoatDongVay_06119!D20),",","'Format':'string'",",'Value':'",SUBSTITUTE(BCHoatDongVay_06119!D20,"'","\'"),"','TargetCode':''}")</f>
        <v>{'SheetId':'96a68930-93e7-4b24-8c17-a871eda9a2bf','UId':'5bbfb09f-e460-462a-bfaf-769ff0ff37bc','Col':4,'Row':20,'Format':'string','Value':' ','TargetCode':''}</v>
      </c>
    </row>
    <row r="423" ht="12.75">
      <c r="A423" t="str">
        <f>CONCATENATE("{'SheetId':'96a68930-93e7-4b24-8c17-a871eda9a2bf'",",","'UId':'a7c0f692-d0e4-469c-af96-579d76c93f31'",",'Col':",COLUMN(BCHoatDongVay_06119!E20),",'Row':",ROW(BCHoatDongVay_06119!E20),",","'Format':'string'",",'Value':'",SUBSTITUTE(BCHoatDongVay_06119!E20,"'","\'"),"','TargetCode':''}")</f>
        <v>{'SheetId':'96a68930-93e7-4b24-8c17-a871eda9a2bf','UId':'a7c0f692-d0e4-469c-af96-579d76c93f31','Col':5,'Row':20,'Format':'string','Value':' ','TargetCode':''}</v>
      </c>
    </row>
    <row r="424" ht="12.75">
      <c r="A424" t="str">
        <f>CONCATENATE("{'SheetId':'96a68930-93e7-4b24-8c17-a871eda9a2bf'",",","'UId':'5a7ac62f-4766-4031-8098-afe15b553420'",",'Col':",COLUMN(BCHoatDongVay_06119!F20),",'Row':",ROW(BCHoatDongVay_06119!F20),",","'Format':'string'",",'Value':'",SUBSTITUTE(BCHoatDongVay_06119!F20,"'","\'"),"','TargetCode':''}")</f>
        <v>{'SheetId':'96a68930-93e7-4b24-8c17-a871eda9a2bf','UId':'5a7ac62f-4766-4031-8098-afe15b553420','Col':6,'Row':20,'Format':'string','Value':' ','TargetCode':''}</v>
      </c>
    </row>
    <row r="425" ht="12.75">
      <c r="A425" t="str">
        <f>CONCATENATE("{'SheetId':'96a68930-93e7-4b24-8c17-a871eda9a2bf'",",","'UId':'9312d941-fbe3-49fe-ae57-abe351a66149'",",'Col':",COLUMN(BCHoatDongVay_06119!G20),",'Row':",ROW(BCHoatDongVay_06119!G20),",","'Format':'numberic'",",'Value':'",SUBSTITUTE(BCHoatDongVay_06119!G20,"'","\'"),"','TargetCode':''}")</f>
        <v>{'SheetId':'96a68930-93e7-4b24-8c17-a871eda9a2bf','UId':'9312d941-fbe3-49fe-ae57-abe351a66149','Col':7,'Row':20,'Format':'numberic','Value':' ','TargetCode':''}</v>
      </c>
    </row>
    <row r="426" ht="12.75">
      <c r="A426" t="str">
        <f>CONCATENATE("{'SheetId':'96a68930-93e7-4b24-8c17-a871eda9a2bf'",",","'UId':'7524ffe5-9eae-4391-b8a6-c8984141663a'",",'Col':",COLUMN(BCHoatDongVay_06119!H20),",'Row':",ROW(BCHoatDongVay_06119!H20),",","'Format':'string'",",'Value':'",SUBSTITUTE(BCHoatDongVay_06119!H20,"'","\'"),"','TargetCode':''}")</f>
        <v>{'SheetId':'96a68930-93e7-4b24-8c17-a871eda9a2bf','UId':'7524ffe5-9eae-4391-b8a6-c8984141663a','Col':8,'Row':20,'Format':'string','Value':' ','TargetCode':''}</v>
      </c>
    </row>
    <row r="427" ht="12.75">
      <c r="A427" t="str">
        <f>CONCATENATE("{'SheetId':'96a68930-93e7-4b24-8c17-a871eda9a2bf'",",","'UId':'1c99c2e0-fbcf-4286-8992-d52c715719ba'",",'Col':",COLUMN(BCHoatDongVay_06119!I20),",'Row':",ROW(BCHoatDongVay_06119!I20),",","'Format':'numberic'",",'Value':'",SUBSTITUTE(BCHoatDongVay_06119!I20,"'","\'"),"','TargetCode':''}")</f>
        <v>{'SheetId':'96a68930-93e7-4b24-8c17-a871eda9a2bf','UId':'1c99c2e0-fbcf-4286-8992-d52c715719ba','Col':9,'Row':20,'Format':'numberic','Value':' ','TargetCode':''}</v>
      </c>
    </row>
    <row r="428" ht="12.75">
      <c r="A428" t="str">
        <f>CONCATENATE("{'SheetId':'96a68930-93e7-4b24-8c17-a871eda9a2bf'",",","'UId':'5d0238d0-8046-4cd3-bc98-01172f9fae79'",",'Col':",COLUMN(BCHoatDongVay_06119!J20),",'Row':",ROW(BCHoatDongVay_06119!J20),",","'Format':'string'",",'Value':'",SUBSTITUTE(BCHoatDongVay_06119!J20,"'","\'"),"','TargetCode':''}")</f>
        <v>{'SheetId':'96a68930-93e7-4b24-8c17-a871eda9a2bf','UId':'5d0238d0-8046-4cd3-bc98-01172f9fae79','Col':10,'Row':20,'Format':'string','Value':' ','TargetCode':''}</v>
      </c>
    </row>
    <row r="429" ht="12.75">
      <c r="A429" t="str">
        <f>CONCATENATE("{'SheetId':'96a68930-93e7-4b24-8c17-a871eda9a2bf'",",","'UId':'bb03776f-e098-4b7b-a794-3e599118abd6'",",'Col':",COLUMN(BCHoatDongVay_06119!K20),",'Row':",ROW(BCHoatDongVay_06119!K20),",","'Format':'numberic'",",'Value':'",SUBSTITUTE(BCHoatDongVay_06119!K20,"'","\'"),"','TargetCode':''}")</f>
        <v>{'SheetId':'96a68930-93e7-4b24-8c17-a871eda9a2bf','UId':'bb03776f-e098-4b7b-a794-3e599118abd6','Col':11,'Row':20,'Format':'numberic','Value':' ','TargetCode':''}</v>
      </c>
    </row>
    <row r="430" ht="12.75">
      <c r="A430" t="str">
        <f>CONCATENATE("{'SheetId':'1e9d0313-75c9-454f-a5b8-2eb17077d4f5'",",","'UId':'a7fd3187-7626-409a-874f-3c80cebf8dcd'",",'Col':",COLUMN(Khac_06120!D2),",'Row':",ROW(Khac_06120!D2),",","'Format':'numberic'",",'Value':'",SUBSTITUTE(Khac_06120!D2,"'","\'"),"','TargetCode':''}")</f>
        <v>{'SheetId':'1e9d0313-75c9-454f-a5b8-2eb17077d4f5','UId':'a7fd3187-7626-409a-874f-3c80cebf8dcd','Col':4,'Row':2,'Format':'numberic','Value':' ','TargetCode':''}</v>
      </c>
    </row>
    <row r="431" ht="12.75">
      <c r="A431" t="str">
        <f>CONCATENATE("{'SheetId':'1e9d0313-75c9-454f-a5b8-2eb17077d4f5'",",","'UId':'1bbaab79-a554-4a75-8b8e-1c394d6d3631'",",'Col':",COLUMN(Khac_06120!E2),",'Row':",ROW(Khac_06120!E2),",","'Format':'numberic'",",'Value':'",SUBSTITUTE(Khac_06120!E2,"'","\'"),"','TargetCode':''}")</f>
        <v>{'SheetId':'1e9d0313-75c9-454f-a5b8-2eb17077d4f5','UId':'1bbaab79-a554-4a75-8b8e-1c394d6d3631','Col':5,'Row':2,'Format':'numberic','Value':' ','TargetCode':''}</v>
      </c>
    </row>
    <row r="432" ht="12.75">
      <c r="A432" t="str">
        <f>CONCATENATE("{'SheetId':'1e9d0313-75c9-454f-a5b8-2eb17077d4f5'",",","'UId':'9a19ab3c-d5e2-4d16-9242-785b2c68bc60'",",'Col':",COLUMN(Khac_06120!D3),",'Row':",ROW(Khac_06120!D3),",","'Format':'numberic'",",'Value':'",SUBSTITUTE(Khac_06120!D3,"'","\'"),"','TargetCode':''}")</f>
        <v>{'SheetId':'1e9d0313-75c9-454f-a5b8-2eb17077d4f5','UId':'9a19ab3c-d5e2-4d16-9242-785b2c68bc60','Col':4,'Row':3,'Format':'numberic','Value':'0.0150058406638659','TargetCode':''}</v>
      </c>
    </row>
    <row r="433" ht="12.75">
      <c r="A433" t="str">
        <f>CONCATENATE("{'SheetId':'1e9d0313-75c9-454f-a5b8-2eb17077d4f5'",",","'UId':'eedf3dcc-8f53-430d-9d51-43bdd42bde43'",",'Col':",COLUMN(Khac_06120!E3),",'Row':",ROW(Khac_06120!E3),",","'Format':'numberic'",",'Value':'",SUBSTITUTE(Khac_06120!E3,"'","\'"),"','TargetCode':''}")</f>
        <v>{'SheetId':'1e9d0313-75c9-454f-a5b8-2eb17077d4f5','UId':'eedf3dcc-8f53-430d-9d51-43bdd42bde43','Col':5,'Row':3,'Format':'numberic','Value':'0.0150056923852936','TargetCode':''}</v>
      </c>
    </row>
    <row r="434" ht="12.75">
      <c r="A434" t="str">
        <f>CONCATENATE("{'SheetId':'1e9d0313-75c9-454f-a5b8-2eb17077d4f5'",",","'UId':'ee993dba-8e2d-4ea3-ab86-1b34e20edfc4'",",'Col':",COLUMN(Khac_06120!D4),",'Row':",ROW(Khac_06120!D4),",","'Format':'numberic'",",'Value':'",SUBSTITUTE(Khac_06120!D4,"'","\'"),"','TargetCode':''}")</f>
        <v>{'SheetId':'1e9d0313-75c9-454f-a5b8-2eb17077d4f5','UId':'ee993dba-8e2d-4ea3-ab86-1b34e20edfc4','Col':4,'Row':4,'Format':'numberic','Value':'0.00278984566128457','TargetCode':''}</v>
      </c>
    </row>
    <row r="435" ht="12.75">
      <c r="A435" t="str">
        <f>CONCATENATE("{'SheetId':'1e9d0313-75c9-454f-a5b8-2eb17077d4f5'",",","'UId':'6cf06a24-fafe-4130-b438-b97218595744'",",'Col':",COLUMN(Khac_06120!E4),",'Row':",ROW(Khac_06120!E4),",","'Format':'numberic'",",'Value':'",SUBSTITUTE(Khac_06120!E4,"'","\'"),"','TargetCode':''}")</f>
        <v>{'SheetId':'1e9d0313-75c9-454f-a5b8-2eb17077d4f5','UId':'6cf06a24-fafe-4130-b438-b97218595744','Col':5,'Row':4,'Format':'numberic','Value':'0.00289111502752531','TargetCode':''}</v>
      </c>
    </row>
    <row r="436" ht="12.75">
      <c r="A436" t="str">
        <f>CONCATENATE("{'SheetId':'1e9d0313-75c9-454f-a5b8-2eb17077d4f5'",",","'UId':'628d374d-4c92-4a77-b6c0-d9f0afd7d6f9'",",'Col':",COLUMN(Khac_06120!D5),",'Row':",ROW(Khac_06120!D5),",","'Format':'numberic'",",'Value':'",SUBSTITUTE(Khac_06120!D5,"'","\'"),"','TargetCode':''}")</f>
        <v>{'SheetId':'1e9d0313-75c9-454f-a5b8-2eb17077d4f5','UId':'628d374d-4c92-4a77-b6c0-d9f0afd7d6f9','Col':4,'Row':5,'Format':'numberic','Value':'0.00427576532967295','TargetCode':''}</v>
      </c>
    </row>
    <row r="437" ht="12.75">
      <c r="A437" t="str">
        <f>CONCATENATE("{'SheetId':'1e9d0313-75c9-454f-a5b8-2eb17077d4f5'",",","'UId':'151be158-8171-4304-916e-6feb658896b5'",",'Col':",COLUMN(Khac_06120!E5),",'Row':",ROW(Khac_06120!E5),",","'Format':'numberic'",",'Value':'",SUBSTITUTE(Khac_06120!E5,"'","\'"),"','TargetCode':''}")</f>
        <v>{'SheetId':'1e9d0313-75c9-454f-a5b8-2eb17077d4f5','UId':'151be158-8171-4304-916e-6feb658896b5','Col':5,'Row':5,'Format':'numberic','Value':'0.00440304931019355','TargetCode':''}</v>
      </c>
    </row>
    <row r="438" ht="12.75">
      <c r="A438" t="str">
        <f>CONCATENATE("{'SheetId':'1e9d0313-75c9-454f-a5b8-2eb17077d4f5'",",","'UId':'38d298b9-d240-4962-b2fb-986350a95ffb'",",'Col':",COLUMN(Khac_06120!D6),",'Row':",ROW(Khac_06120!D6),",","'Format':'numberic'",",'Value':'",SUBSTITUTE(Khac_06120!D6,"'","\'"),"','TargetCode':''}")</f>
        <v>{'SheetId':'1e9d0313-75c9-454f-a5b8-2eb17077d4f5','UId':'38d298b9-d240-4962-b2fb-986350a95ffb','Col':4,'Row':6,'Format':'numberic','Value':'0.00244189294856103','TargetCode':''}</v>
      </c>
    </row>
    <row r="439" ht="12.75">
      <c r="A439" t="str">
        <f>CONCATENATE("{'SheetId':'1e9d0313-75c9-454f-a5b8-2eb17077d4f5'",",","'UId':'091165fb-03fa-4b81-81b0-48d93f7bd8bc'",",'Col':",COLUMN(Khac_06120!E6),",'Row':",ROW(Khac_06120!E6),",","'Format':'numberic'",",'Value':'",SUBSTITUTE(Khac_06120!E6,"'","\'"),"','TargetCode':''}")</f>
        <v>{'SheetId':'1e9d0313-75c9-454f-a5b8-2eb17077d4f5','UId':'091165fb-03fa-4b81-81b0-48d93f7bd8bc','Col':5,'Row':6,'Format':'numberic','Value':'0.0149252804297217','TargetCode':''}</v>
      </c>
    </row>
    <row r="440" ht="12.75">
      <c r="A440" t="str">
        <f>CONCATENATE("{'SheetId':'1e9d0313-75c9-454f-a5b8-2eb17077d4f5'",",","'UId':'04237d45-6d99-4ce2-b779-ffd95a2b031b'",",'Col':",COLUMN(Khac_06120!D7),",'Row':",ROW(Khac_06120!D7),",","'Format':'numberic'",",'Value':'",SUBSTITUTE(Khac_06120!D7,"'","\'"),"','TargetCode':''}")</f>
        <v>{'SheetId':'1e9d0313-75c9-454f-a5b8-2eb17077d4f5','UId':'04237d45-6d99-4ce2-b779-ffd95a2b031b','Col':4,'Row':7,'Format':'numberic','Value':'0','TargetCode':''}</v>
      </c>
    </row>
    <row r="441" ht="12.75">
      <c r="A441" t="str">
        <f>CONCATENATE("{'SheetId':'1e9d0313-75c9-454f-a5b8-2eb17077d4f5'",",","'UId':'08e67eeb-d461-4ead-8646-cb2fca768f5f'",",'Col':",COLUMN(Khac_06120!E7),",'Row':",ROW(Khac_06120!E7),",","'Format':'numberic'",",'Value':'",SUBSTITUTE(Khac_06120!E7,"'","\'"),"','TargetCode':''}")</f>
        <v>{'SheetId':'1e9d0313-75c9-454f-a5b8-2eb17077d4f5','UId':'08e67eeb-d461-4ead-8646-cb2fca768f5f','Col':5,'Row':7,'Format':'numberic','Value':'0','TargetCode':''}</v>
      </c>
    </row>
    <row r="442" ht="12.75">
      <c r="A442" t="str">
        <f>CONCATENATE("{'SheetId':'1e9d0313-75c9-454f-a5b8-2eb17077d4f5'",",","'UId':'fe59cdb6-fd17-4bf3-b834-19dbf04f363c'",",'Col':",COLUMN(Khac_06120!D8),",'Row':",ROW(Khac_06120!D8),",","'Format':'numberic'",",'Value':'",SUBSTITUTE(Khac_06120!D8,"'","\'"),"','TargetCode':''}")</f>
        <v>{'SheetId':'1e9d0313-75c9-454f-a5b8-2eb17077d4f5','UId':'fe59cdb6-fd17-4bf3-b834-19dbf04f363c','Col':4,'Row':8,'Format':'numberic','Value':'0','TargetCode':''}</v>
      </c>
    </row>
    <row r="443" ht="12.75">
      <c r="A443" t="str">
        <f>CONCATENATE("{'SheetId':'1e9d0313-75c9-454f-a5b8-2eb17077d4f5'",",","'UId':'0c80e277-29b3-414b-a88d-c4bc46d1c32d'",",'Col':",COLUMN(Khac_06120!E8),",'Row':",ROW(Khac_06120!E8),",","'Format':'numberic'",",'Value':'",SUBSTITUTE(Khac_06120!E8,"'","\'"),"','TargetCode':''}")</f>
        <v>{'SheetId':'1e9d0313-75c9-454f-a5b8-2eb17077d4f5','UId':'0c80e277-29b3-414b-a88d-c4bc46d1c32d','Col':5,'Row':8,'Format':'numberic','Value':'0','TargetCode':''}</v>
      </c>
    </row>
    <row r="444" ht="12.75">
      <c r="A444" t="str">
        <f>CONCATENATE("{'SheetId':'1e9d0313-75c9-454f-a5b8-2eb17077d4f5'",",","'UId':'b83e33f1-7284-42b9-b2ae-888bc770702f'",",'Col':",COLUMN(Khac_06120!D9),",'Row':",ROW(Khac_06120!D9),",","'Format':'numberic'",",'Value':'",SUBSTITUTE(Khac_06120!D9,"'","\'"),"','TargetCode':''}")</f>
        <v>{'SheetId':'1e9d0313-75c9-454f-a5b8-2eb17077d4f5','UId':'b83e33f1-7284-42b9-b2ae-888bc770702f','Col':4,'Row':9,'Format':'numberic','Value':'0.00388705939061178','TargetCode':''}</v>
      </c>
    </row>
    <row r="445" ht="12.75">
      <c r="A445" t="str">
        <f>CONCATENATE("{'SheetId':'1e9d0313-75c9-454f-a5b8-2eb17077d4f5'",",","'UId':'ce235b79-8db1-4924-bb9e-462782c2ae64'",",'Col':",COLUMN(Khac_06120!E9),",'Row':",ROW(Khac_06120!E9),",","'Format':'numberic'",",'Value':'",SUBSTITUTE(Khac_06120!E9,"'","\'"),"','TargetCode':''}")</f>
        <v>{'SheetId':'1e9d0313-75c9-454f-a5b8-2eb17077d4f5','UId':'ce235b79-8db1-4924-bb9e-462782c2ae64','Col':5,'Row':9,'Format':'numberic','Value':'0.00400277210017596','TargetCode':''}</v>
      </c>
    </row>
    <row r="446" ht="12.75">
      <c r="A446" t="str">
        <f>CONCATENATE("{'SheetId':'1e9d0313-75c9-454f-a5b8-2eb17077d4f5'",",","'UId':'2d0ff62f-dbc2-4d39-83d2-f28cd12240b0'",",'Col':",COLUMN(Khac_06120!D10),",'Row':",ROW(Khac_06120!D10),",","'Format':'numberic'",",'Value':'",SUBSTITUTE(Khac_06120!D10,"'","\'"),"','TargetCode':''}")</f>
        <v>{'SheetId':'1e9d0313-75c9-454f-a5b8-2eb17077d4f5','UId':'2d0ff62f-dbc2-4d39-83d2-f28cd12240b0','Col':4,'Row':10,'Format':'numberic','Value':'0.0354018417075131','TargetCode':''}</v>
      </c>
    </row>
    <row r="447" ht="12.75">
      <c r="A447" t="str">
        <f>CONCATENATE("{'SheetId':'1e9d0313-75c9-454f-a5b8-2eb17077d4f5'",",","'UId':'90d366d2-f735-4fd3-a19b-0deaf643f543'",",'Col':",COLUMN(Khac_06120!E10),",'Row':",ROW(Khac_06120!E10),",","'Format':'numberic'",",'Value':'",SUBSTITUTE(Khac_06120!E10,"'","\'"),"','TargetCode':''}")</f>
        <v>{'SheetId':'1e9d0313-75c9-454f-a5b8-2eb17077d4f5','UId':'90d366d2-f735-4fd3-a19b-0deaf643f543','Col':5,'Row':10,'Format':'numberic','Value':'0.0523928953759286','TargetCode':''}</v>
      </c>
    </row>
    <row r="448" ht="12.75">
      <c r="A448" t="str">
        <f>CONCATENATE("{'SheetId':'1e9d0313-75c9-454f-a5b8-2eb17077d4f5'",",","'UId':'be350fca-e8d0-4d87-bd4f-e03b0f701358'",",'Col':",COLUMN(Khac_06120!D11),",'Row':",ROW(Khac_06120!D11),",","'Format':'numberic'",",'Value':'",SUBSTITUTE(Khac_06120!D11,"'","\'"),"','TargetCode':''}")</f>
        <v>{'SheetId':'1e9d0313-75c9-454f-a5b8-2eb17077d4f5','UId':'be350fca-e8d0-4d87-bd4f-e03b0f701358','Col':4,'Row':11,'Format':'numberic','Value':'2.39777275137924','TargetCode':''}</v>
      </c>
    </row>
    <row r="449" ht="12.75">
      <c r="A449" t="str">
        <f>CONCATENATE("{'SheetId':'1e9d0313-75c9-454f-a5b8-2eb17077d4f5'",",","'UId':'5b460aec-9d61-4ec3-99e2-22ecae7055f9'",",'Col':",COLUMN(Khac_06120!E11),",'Row':",ROW(Khac_06120!E11),",","'Format':'numberic'",",'Value':'",SUBSTITUTE(Khac_06120!E11,"'","\'"),"','TargetCode':''}")</f>
        <v>{'SheetId':'1e9d0313-75c9-454f-a5b8-2eb17077d4f5','UId':'5b460aec-9d61-4ec3-99e2-22ecae7055f9','Col':5,'Row':11,'Format':'numberic','Value':'3.32750806271374','TargetCode':''}</v>
      </c>
    </row>
    <row r="450" ht="12.75">
      <c r="A450" t="str">
        <f>CONCATENATE("{'SheetId':'1e9d0313-75c9-454f-a5b8-2eb17077d4f5'",",","'UId':'224fbe5b-041d-4ead-99be-3c138dcac6f1'",",'Col':",COLUMN(Khac_06120!D12),",'Row':",ROW(Khac_06120!D12),",","'Format':'numberic'",",'Value':'",SUBSTITUTE(Khac_06120!D12,"'","\'"),"','TargetCode':''}")</f>
        <v>{'SheetId':'1e9d0313-75c9-454f-a5b8-2eb17077d4f5','UId':'224fbe5b-041d-4ead-99be-3c138dcac6f1','Col':4,'Row':12,'Format':'numberic','Value':'0.0293786628222045','TargetCode':''}</v>
      </c>
    </row>
    <row r="451" ht="12.75">
      <c r="A451" t="str">
        <f>CONCATENATE("{'SheetId':'1e9d0313-75c9-454f-a5b8-2eb17077d4f5'",",","'UId':'dea6f5f7-a360-49b0-8af0-17cfa0badf40'",",'Col':",COLUMN(Khac_06120!E12),",'Row':",ROW(Khac_06120!E12),",","'Format':'numberic'",",'Value':'",SUBSTITUTE(Khac_06120!E12,"'","\'"),"','TargetCode':''}")</f>
        <v>{'SheetId':'1e9d0313-75c9-454f-a5b8-2eb17077d4f5','UId':'dea6f5f7-a360-49b0-8af0-17cfa0badf40','Col':5,'Row':12,'Format':'numberic','Value':'-0.356218285225433','TargetCode':''}</v>
      </c>
    </row>
    <row r="452" ht="12.75">
      <c r="A452" t="str">
        <f>CONCATENATE("{'SheetId':'1e9d0313-75c9-454f-a5b8-2eb17077d4f5'",",","'UId':'59562556-97a6-4024-91ee-c240d983200e'",",'Col':",COLUMN(Khac_06120!D13),",'Row':",ROW(Khac_06120!D13),",","'Format':'numberic'",",'Value':'",SUBSTITUTE(Khac_06120!D13,"'","\'"),"','TargetCode':''}")</f>
        <v>{'SheetId':'1e9d0313-75c9-454f-a5b8-2eb17077d4f5','UId':'59562556-97a6-4024-91ee-c240d983200e','Col':4,'Row':13,'Format':'numberic','Value':' ','TargetCode':''}</v>
      </c>
    </row>
    <row r="453" ht="12.75">
      <c r="A453" t="str">
        <f>CONCATENATE("{'SheetId':'1e9d0313-75c9-454f-a5b8-2eb17077d4f5'",",","'UId':'5e6783a8-97cb-454e-8706-0c369388b9ad'",",'Col':",COLUMN(Khac_06120!E13),",'Row':",ROW(Khac_06120!E13),",","'Format':'numberic'",",'Value':'",SUBSTITUTE(Khac_06120!E13,"'","\'"),"','TargetCode':''}")</f>
        <v>{'SheetId':'1e9d0313-75c9-454f-a5b8-2eb17077d4f5','UId':'5e6783a8-97cb-454e-8706-0c369388b9ad','Col':5,'Row':13,'Format':'numberic','Value':'','TargetCode':''}</v>
      </c>
    </row>
    <row r="454" ht="12.75">
      <c r="A454" t="str">
        <f>CONCATENATE("{'SheetId':'1e9d0313-75c9-454f-a5b8-2eb17077d4f5'",",","'UId':'2137e777-fe1b-4d5a-ab9c-c9454a5001b9'",",'Col':",COLUMN(Khac_06120!D14),",'Row':",ROW(Khac_06120!D14),",","'Format':'numberic'",",'Value':'",SUBSTITUTE(Khac_06120!D14,"'","\'"),"','TargetCode':''}")</f>
        <v>{'SheetId':'1e9d0313-75c9-454f-a5b8-2eb17077d4f5','UId':'2137e777-fe1b-4d5a-ab9c-c9454a5001b9','Col':4,'Row':14,'Format':'numberic','Value':' ','TargetCode':''}</v>
      </c>
    </row>
    <row r="455" ht="12.75">
      <c r="A455" t="str">
        <f>CONCATENATE("{'SheetId':'1e9d0313-75c9-454f-a5b8-2eb17077d4f5'",",","'UId':'8acb59eb-1c45-414f-bb0e-4c3acd7beec7'",",'Col':",COLUMN(Khac_06120!E14),",'Row':",ROW(Khac_06120!E14),",","'Format':'numberic'",",'Value':'",SUBSTITUTE(Khac_06120!E14,"'","\'"),"','TargetCode':''}")</f>
        <v>{'SheetId':'1e9d0313-75c9-454f-a5b8-2eb17077d4f5','UId':'8acb59eb-1c45-414f-bb0e-4c3acd7beec7','Col':5,'Row':14,'Format':'numberic','Value':'','TargetCode':''}</v>
      </c>
    </row>
    <row r="456" ht="12.75">
      <c r="A456" t="str">
        <f>CONCATENATE("{'SheetId':'1e9d0313-75c9-454f-a5b8-2eb17077d4f5'",",","'UId':'c2bc6d69-47c9-48c0-b495-89d65823578d'",",'Col':",COLUMN(Khac_06120!D15),",'Row':",ROW(Khac_06120!D15),",","'Format':'numberic'",",'Value':'",SUBSTITUTE(Khac_06120!D15,"'","\'"),"','TargetCode':''}")</f>
        <v>{'SheetId':'1e9d0313-75c9-454f-a5b8-2eb17077d4f5','UId':'c2bc6d69-47c9-48c0-b495-89d65823578d','Col':4,'Row':15,'Format':'numberic','Value':'44888942671','TargetCode':''}</v>
      </c>
    </row>
    <row r="457" ht="12.75">
      <c r="A457" t="str">
        <f>CONCATENATE("{'SheetId':'1e9d0313-75c9-454f-a5b8-2eb17077d4f5'",",","'UId':'651b6b47-604c-4bb2-8589-8f331757b430'",",'Col':",COLUMN(Khac_06120!E15),",'Row':",ROW(Khac_06120!E15),",","'Format':'numberic'",",'Value':'",SUBSTITUTE(Khac_06120!E15,"'","\'"),"','TargetCode':''}")</f>
        <v>{'SheetId':'1e9d0313-75c9-454f-a5b8-2eb17077d4f5','UId':'651b6b47-604c-4bb2-8589-8f331757b430','Col':5,'Row':15,'Format':'numberic','Value':'46420173417','TargetCode':''}</v>
      </c>
    </row>
    <row r="458" ht="12.75">
      <c r="A458" t="str">
        <f>CONCATENATE("{'SheetId':'1e9d0313-75c9-454f-a5b8-2eb17077d4f5'",",","'UId':'6fc05c34-2454-48a1-b208-13d0a67bec94'",",'Col':",COLUMN(Khac_06120!D16),",'Row':",ROW(Khac_06120!D16),",","'Format':'numberic'",",'Value':'",SUBSTITUTE(Khac_06120!D16,"'","\'"),"','TargetCode':''}")</f>
        <v>{'SheetId':'1e9d0313-75c9-454f-a5b8-2eb17077d4f5','UId':'6fc05c34-2454-48a1-b208-13d0a67bec94','Col':4,'Row':16,'Format':'numberic','Value':'5000000','TargetCode':''}</v>
      </c>
    </row>
    <row r="459" ht="12.75">
      <c r="A459" t="str">
        <f>CONCATENATE("{'SheetId':'1e9d0313-75c9-454f-a5b8-2eb17077d4f5'",",","'UId':'65aab55f-99a0-44d1-bc38-eccc630c9aee'",",'Col':",COLUMN(Khac_06120!E16),",'Row':",ROW(Khac_06120!E16),",","'Format':'numberic'",",'Value':'",SUBSTITUTE(Khac_06120!E16,"'","\'"),"','TargetCode':''}")</f>
        <v>{'SheetId':'1e9d0313-75c9-454f-a5b8-2eb17077d4f5','UId':'65aab55f-99a0-44d1-bc38-eccc630c9aee','Col':5,'Row':16,'Format':'numberic','Value':'5000000','TargetCode':''}</v>
      </c>
    </row>
    <row r="460" ht="12.75">
      <c r="A460" t="str">
        <f>CONCATENATE("{'SheetId':'1e9d0313-75c9-454f-a5b8-2eb17077d4f5'",",","'UId':'7b081506-dfeb-47fc-9662-9aa43ba86349'",",'Col':",COLUMN(Khac_06120!D17),",'Row':",ROW(Khac_06120!D17),",","'Format':'numberic'",",'Value':'",SUBSTITUTE(Khac_06120!D17,"'","\'"),"','TargetCode':''}")</f>
        <v>{'SheetId':'1e9d0313-75c9-454f-a5b8-2eb17077d4f5','UId':'7b081506-dfeb-47fc-9662-9aa43ba86349','Col':4,'Row':17,'Format':'numberic','Value':'','TargetCode':''}</v>
      </c>
    </row>
    <row r="461" ht="12.75">
      <c r="A461" t="str">
        <f>CONCATENATE("{'SheetId':'1e9d0313-75c9-454f-a5b8-2eb17077d4f5'",",","'UId':'e5ce1a48-dc57-4e13-b7ed-ea5d5e7a6022'",",'Col':",COLUMN(Khac_06120!E17),",'Row':",ROW(Khac_06120!E17),",","'Format':'numberic'",",'Value':'",SUBSTITUTE(Khac_06120!E17,"'","\'"),"','TargetCode':''}")</f>
        <v>{'SheetId':'1e9d0313-75c9-454f-a5b8-2eb17077d4f5','UId':'e5ce1a48-dc57-4e13-b7ed-ea5d5e7a6022','Col':5,'Row':17,'Format':'numberic','Value':'','TargetCode':''}</v>
      </c>
    </row>
    <row r="462" ht="12.75">
      <c r="A462" t="str">
        <f>CONCATENATE("{'SheetId':'1e9d0313-75c9-454f-a5b8-2eb17077d4f5'",",","'UId':'d1f335f6-8194-46f9-a856-6e23e27afad0'",",'Col':",COLUMN(Khac_06120!D18),",'Row':",ROW(Khac_06120!D18),",","'Format':'numberic'",",'Value':'",SUBSTITUTE(Khac_06120!D18,"'","\'"),"','TargetCode':''}")</f>
        <v>{'SheetId':'1e9d0313-75c9-454f-a5b8-2eb17077d4f5','UId':'d1f335f6-8194-46f9-a856-6e23e27afad0','Col':4,'Row':18,'Format':'numberic','Value':'','TargetCode':''}</v>
      </c>
    </row>
    <row r="463" ht="12.75">
      <c r="A463" t="str">
        <f>CONCATENATE("{'SheetId':'1e9d0313-75c9-454f-a5b8-2eb17077d4f5'",",","'UId':'df928cc2-9312-4010-97c7-8586fedaf2ba'",",'Col':",COLUMN(Khac_06120!E18),",'Row':",ROW(Khac_06120!E18),",","'Format':'numberic'",",'Value':'",SUBSTITUTE(Khac_06120!E18,"'","\'"),"','TargetCode':''}")</f>
        <v>{'SheetId':'1e9d0313-75c9-454f-a5b8-2eb17077d4f5','UId':'df928cc2-9312-4010-97c7-8586fedaf2ba','Col':5,'Row':18,'Format':'numberic','Value':'','TargetCode':''}</v>
      </c>
    </row>
    <row r="464" ht="12.75">
      <c r="A464" t="str">
        <f>CONCATENATE("{'SheetId':'1e9d0313-75c9-454f-a5b8-2eb17077d4f5'",",","'UId':'24178568-888c-4637-87cb-b5de065920e7'",",'Col':",COLUMN(Khac_06120!D19),",'Row':",ROW(Khac_06120!D19),",","'Format':'numberic'",",'Value':'",SUBSTITUTE(Khac_06120!D19,"'","\'"),"','TargetCode':''}")</f>
        <v>{'SheetId':'1e9d0313-75c9-454f-a5b8-2eb17077d4f5','UId':'24178568-888c-4637-87cb-b5de065920e7','Col':4,'Row':19,'Format':'numberic','Value':'','TargetCode':''}</v>
      </c>
    </row>
    <row r="465" ht="12.75">
      <c r="A465" t="str">
        <f>CONCATENATE("{'SheetId':'1e9d0313-75c9-454f-a5b8-2eb17077d4f5'",",","'UId':'21c83a3a-a963-470e-b63d-02b90ab16269'",",'Col':",COLUMN(Khac_06120!E19),",'Row':",ROW(Khac_06120!E19),",","'Format':'numberic'",",'Value':'",SUBSTITUTE(Khac_06120!E19,"'","\'"),"','TargetCode':''}")</f>
        <v>{'SheetId':'1e9d0313-75c9-454f-a5b8-2eb17077d4f5','UId':'21c83a3a-a963-470e-b63d-02b90ab16269','Col':5,'Row':19,'Format':'numberic','Value':'','TargetCode':''}</v>
      </c>
    </row>
    <row r="466" ht="12.75">
      <c r="A466" t="str">
        <f>CONCATENATE("{'SheetId':'1e9d0313-75c9-454f-a5b8-2eb17077d4f5'",",","'UId':'9e81aa70-510b-4e9c-8d79-169cf05206f4'",",'Col':",COLUMN(Khac_06120!D20),",'Row':",ROW(Khac_06120!D20),",","'Format':'numberic'",",'Value':'",SUBSTITUTE(Khac_06120!D20,"'","\'"),"','TargetCode':''}")</f>
        <v>{'SheetId':'1e9d0313-75c9-454f-a5b8-2eb17077d4f5','UId':'9e81aa70-510b-4e9c-8d79-169cf05206f4','Col':4,'Row':20,'Format':'numberic','Value':'','TargetCode':''}</v>
      </c>
    </row>
    <row r="467" ht="12.75">
      <c r="A467" t="str">
        <f>CONCATENATE("{'SheetId':'1e9d0313-75c9-454f-a5b8-2eb17077d4f5'",",","'UId':'407b98f7-c94b-4c97-b14f-950ec1f64372'",",'Col':",COLUMN(Khac_06120!E20),",'Row':",ROW(Khac_06120!E20),",","'Format':'numberic'",",'Value':'",SUBSTITUTE(Khac_06120!E20,"'","\'"),"','TargetCode':''}")</f>
        <v>{'SheetId':'1e9d0313-75c9-454f-a5b8-2eb17077d4f5','UId':'407b98f7-c94b-4c97-b14f-950ec1f64372','Col':5,'Row':20,'Format':'numberic','Value':'','TargetCode':''}</v>
      </c>
    </row>
    <row r="468" ht="12.75">
      <c r="A468" t="str">
        <f>CONCATENATE("{'SheetId':'1e9d0313-75c9-454f-a5b8-2eb17077d4f5'",",","'UId':'c4660264-71e7-48da-9d84-79d53200926c'",",'Col':",COLUMN(Khac_06120!D21),",'Row':",ROW(Khac_06120!D21),",","'Format':'numberic'",",'Value':'",SUBSTITUTE(Khac_06120!D21,"'","\'"),"','TargetCode':''}")</f>
        <v>{'SheetId':'1e9d0313-75c9-454f-a5b8-2eb17077d4f5','UId':'c4660264-71e7-48da-9d84-79d53200926c','Col':4,'Row':21,'Format':'numberic','Value':'44865699475','TargetCode':''}</v>
      </c>
    </row>
    <row r="469" ht="12.75">
      <c r="A469" t="str">
        <f>CONCATENATE("{'SheetId':'1e9d0313-75c9-454f-a5b8-2eb17077d4f5'",",","'UId':'268460c6-6278-4921-9e8e-ff508267e027'",",'Col':",COLUMN(Khac_06120!E21),",'Row':",ROW(Khac_06120!E21),",","'Format':'numberic'",",'Value':'",SUBSTITUTE(Khac_06120!E21,"'","\'"),"','TargetCode':''}")</f>
        <v>{'SheetId':'1e9d0313-75c9-454f-a5b8-2eb17077d4f5','UId':'268460c6-6278-4921-9e8e-ff508267e027','Col':5,'Row':21,'Format':'numberic','Value':'44888942671','TargetCode':''}</v>
      </c>
    </row>
    <row r="470" ht="12.75">
      <c r="A470" t="str">
        <f>CONCATENATE("{'SheetId':'1e9d0313-75c9-454f-a5b8-2eb17077d4f5'",",","'UId':'452a49fb-84fd-4c34-b31c-67c2db22a810'",",'Col':",COLUMN(Khac_06120!D22),",'Row':",ROW(Khac_06120!D22),",","'Format':'numberic'",",'Value':'",SUBSTITUTE(Khac_06120!D22,"'","\'"),"','TargetCode':''}")</f>
        <v>{'SheetId':'1e9d0313-75c9-454f-a5b8-2eb17077d4f5','UId':'452a49fb-84fd-4c34-b31c-67c2db22a810','Col':4,'Row':22,'Format':'numberic','Value':'5000000','TargetCode':''}</v>
      </c>
    </row>
    <row r="471" ht="12.75">
      <c r="A471" t="str">
        <f>CONCATENATE("{'SheetId':'1e9d0313-75c9-454f-a5b8-2eb17077d4f5'",",","'UId':'e2b1aed4-488d-4630-80d2-8e765eade25f'",",'Col':",COLUMN(Khac_06120!E22),",'Row':",ROW(Khac_06120!E22),",","'Format':'numberic'",",'Value':'",SUBSTITUTE(Khac_06120!E22,"'","\'"),"','TargetCode':''}")</f>
        <v>{'SheetId':'1e9d0313-75c9-454f-a5b8-2eb17077d4f5','UId':'e2b1aed4-488d-4630-80d2-8e765eade25f','Col':5,'Row':22,'Format':'numberic','Value':'5000000','TargetCode':''}</v>
      </c>
    </row>
    <row r="472" ht="12.75">
      <c r="A472" t="str">
        <f>CONCATENATE("{'SheetId':'1e9d0313-75c9-454f-a5b8-2eb17077d4f5'",",","'UId':'723a45ee-c47b-471b-ae10-ccce90a8c5f9'",",'Col':",COLUMN(Khac_06120!D23),",'Row':",ROW(Khac_06120!D23),",","'Format':'numberic'",",'Value':'",SUBSTITUTE(Khac_06120!D23,"'","\'"),"','TargetCode':''}")</f>
        <v>{'SheetId':'1e9d0313-75c9-454f-a5b8-2eb17077d4f5','UId':'723a45ee-c47b-471b-ae10-ccce90a8c5f9','Col':4,'Row':23,'Format':'numberic','Value':'0.00042','TargetCode':''}</v>
      </c>
    </row>
    <row r="473" ht="12.75">
      <c r="A473" t="str">
        <f>CONCATENATE("{'SheetId':'1e9d0313-75c9-454f-a5b8-2eb17077d4f5'",",","'UId':'7d39ec5d-27d4-4ea5-b592-93b34eba60c7'",",'Col':",COLUMN(Khac_06120!E23),",'Row':",ROW(Khac_06120!E23),",","'Format':'numberic'",",'Value':'",SUBSTITUTE(Khac_06120!E23,"'","\'"),"','TargetCode':''}")</f>
        <v>{'SheetId':'1e9d0313-75c9-454f-a5b8-2eb17077d4f5','UId':'7d39ec5d-27d4-4ea5-b592-93b34eba60c7','Col':5,'Row':23,'Format':'numberic','Value':'0.00042','TargetCode':''}</v>
      </c>
    </row>
    <row r="474" ht="12.75">
      <c r="A474" t="str">
        <f>CONCATENATE("{'SheetId':'1e9d0313-75c9-454f-a5b8-2eb17077d4f5'",",","'UId':'0ae4ab35-4f24-4d77-b814-33df8952a12c'",",'Col':",COLUMN(Khac_06120!D24),",'Row':",ROW(Khac_06120!D24),",","'Format':'numberic'",",'Value':'",SUBSTITUTE(Khac_06120!D24,"'","\'"),"','TargetCode':''}")</f>
        <v>{'SheetId':'1e9d0313-75c9-454f-a5b8-2eb17077d4f5','UId':'0ae4ab35-4f24-4d77-b814-33df8952a12c','Col':4,'Row':24,'Format':'numberic','Value':'0.9038','TargetCode':''}</v>
      </c>
    </row>
    <row r="475" ht="12.75">
      <c r="A475" t="str">
        <f>CONCATENATE("{'SheetId':'1e9d0313-75c9-454f-a5b8-2eb17077d4f5'",",","'UId':'32d00d6d-ff90-4f30-8707-4b7094990464'",",'Col':",COLUMN(Khac_06120!E24),",'Row':",ROW(Khac_06120!E24),",","'Format':'numberic'",",'Value':'",SUBSTITUTE(Khac_06120!E24,"'","\'"),"','TargetCode':''}")</f>
        <v>{'SheetId':'1e9d0313-75c9-454f-a5b8-2eb17077d4f5','UId':'32d00d6d-ff90-4f30-8707-4b7094990464','Col':5,'Row':24,'Format':'numberic','Value':'0.9059','TargetCode':''}</v>
      </c>
    </row>
    <row r="476" ht="12.75">
      <c r="A476" t="str">
        <f>CONCATENATE("{'SheetId':'1e9d0313-75c9-454f-a5b8-2eb17077d4f5'",",","'UId':'8e2e7cbd-f8c5-49a7-8e46-6854bff18acb'",",'Col':",COLUMN(Khac_06120!D25),",'Row':",ROW(Khac_06120!D25),",","'Format':'numberic'",",'Value':'",SUBSTITUTE(Khac_06120!D25,"'","\'"),"','TargetCode':''}")</f>
        <v>{'SheetId':'1e9d0313-75c9-454f-a5b8-2eb17077d4f5','UId':'8e2e7cbd-f8c5-49a7-8e46-6854bff18acb','Col':4,'Row':25,'Format':'numberic','Value':'0.0211','TargetCode':''}</v>
      </c>
    </row>
    <row r="477" ht="12.75">
      <c r="A477" t="str">
        <f>CONCATENATE("{'SheetId':'1e9d0313-75c9-454f-a5b8-2eb17077d4f5'",",","'UId':'227edbdb-3f37-4a22-bb5f-5b29cdf3bf91'",",'Col':",COLUMN(Khac_06120!E25),",'Row':",ROW(Khac_06120!E25),",","'Format':'numberic'",",'Value':'",SUBSTITUTE(Khac_06120!E25,"'","\'"),"','TargetCode':''}")</f>
        <v>{'SheetId':'1e9d0313-75c9-454f-a5b8-2eb17077d4f5','UId':'227edbdb-3f37-4a22-bb5f-5b29cdf3bf91','Col':5,'Row':25,'Format':'numberic','Value':'0.021','TargetCode':''}</v>
      </c>
    </row>
    <row r="478" ht="12.75">
      <c r="A478" t="str">
        <f>CONCATENATE("{'SheetId':'1e9d0313-75c9-454f-a5b8-2eb17077d4f5'",",","'UId':'de12b074-f47c-4f02-abe2-09172e025b26'",",'Col':",COLUMN(Khac_06120!D26),",'Row':",ROW(Khac_06120!D26),",","'Format':'numberic'",",'Value':'",SUBSTITUTE(Khac_06120!D26,"'","\'"),"','TargetCode':''}")</f>
        <v>{'SheetId':'1e9d0313-75c9-454f-a5b8-2eb17077d4f5','UId':'de12b074-f47c-4f02-abe2-09172e025b26','Col':4,'Row':26,'Format':'numberic','Value':'8973.13','TargetCode':''}</v>
      </c>
    </row>
    <row r="479" ht="12.75">
      <c r="A479" t="str">
        <f>CONCATENATE("{'SheetId':'1e9d0313-75c9-454f-a5b8-2eb17077d4f5'",",","'UId':'0c691416-ca92-4441-afba-eb9a04a488cf'",",'Col':",COLUMN(Khac_06120!E26),",'Row':",ROW(Khac_06120!E26),",","'Format':'numberic'",",'Value':'",SUBSTITUTE(Khac_06120!E26,"'","\'"),"','TargetCode':''}")</f>
        <v>{'SheetId':'1e9d0313-75c9-454f-a5b8-2eb17077d4f5','UId':'0c691416-ca92-4441-afba-eb9a04a488cf','Col':5,'Row':26,'Format':'numberic','Value':'8977.78','TargetCode':''}</v>
      </c>
    </row>
    <row r="480" ht="12.75">
      <c r="A480" t="str">
        <f>CONCATENATE("{'SheetId':'1e9d0313-75c9-454f-a5b8-2eb17077d4f5'",",","'UId':'a7fbdc08-63d7-46b0-936d-6037ecba15bd'",",'Col':",COLUMN(Khac_06120!D27),",'Row':",ROW(Khac_06120!D27),",","'Format':'numberic'",",'Value':'",SUBSTITUTE(Khac_06120!D27,"'","\'"),"','TargetCode':''}")</f>
        <v>{'SheetId':'1e9d0313-75c9-454f-a5b8-2eb17077d4f5','UId':'a7fbdc08-63d7-46b0-936d-6037ecba15bd','Col':4,'Row':27,'Format':'numberic','Value':'6390','TargetCode':''}</v>
      </c>
    </row>
    <row r="481" ht="12.75">
      <c r="A481" t="str">
        <f>CONCATENATE("{'SheetId':'1e9d0313-75c9-454f-a5b8-2eb17077d4f5'",",","'UId':'37e64453-0baf-4b26-9ab1-9e54e42b3eef'",",'Col':",COLUMN(Khac_06120!E27),",'Row':",ROW(Khac_06120!E27),",","'Format':'numberic'",",'Value':'",SUBSTITUTE(Khac_06120!E27,"'","\'"),"','TargetCode':''}")</f>
        <v>{'SheetId':'1e9d0313-75c9-454f-a5b8-2eb17077d4f5','UId':'37e64453-0baf-4b26-9ab1-9e54e42b3eef','Col':5,'Row':27,'Format':'numberic','Value':'6800','TargetCode':''}</v>
      </c>
    </row>
    <row r="482" ht="12.75">
      <c r="A482" t="str">
        <f>CONCATENATE("{'SheetId':'1e9d0313-75c9-454f-a5b8-2eb17077d4f5'",",","'UId':'5e92bf20-7d55-4592-a1cb-a7cfe6d7408f'",",'Col':",COLUMN(Khac_06120!D28),",'Row':",ROW(Khac_06120!D28),",","'Format':'numberic'",",'Value':'",SUBSTITUTE(Khac_06120!D28,"'","\'"),"','TargetCode':''}")</f>
        <v>{'SheetId':'1e9d0313-75c9-454f-a5b8-2eb17077d4f5','UId':'5e92bf20-7d55-4592-a1cb-a7cfe6d7408f','Col':4,'Row':28,'Format':'numberic','Value':'376','TargetCode':''}</v>
      </c>
    </row>
    <row r="483" ht="12.75">
      <c r="A483" t="str">
        <f>CONCATENATE("{'SheetId':'1e9d0313-75c9-454f-a5b8-2eb17077d4f5'",",","'UId':'07acb04f-e5e9-4564-866b-b7518f72e115'",",'Col':",COLUMN(Khac_06120!E28),",'Row':",ROW(Khac_06120!E28),",","'Format':'numberic'",",'Value':'",SUBSTITUTE(Khac_06120!E28,"'","\'"),"','TargetCode':''}")</f>
        <v>{'SheetId':'1e9d0313-75c9-454f-a5b8-2eb17077d4f5','UId':'07acb04f-e5e9-4564-866b-b7518f72e115','Col':5,'Row':28,'Format':'numberic','Value':'369','TargetCode':''}</v>
      </c>
    </row>
    <row r="484" ht="12.75">
      <c r="A484" t="str">
        <f>CONCATENATE("{'SheetId':'a816653e-e9a7-4123-80af-e60674952def'",",","'UId':'31332aca-dc2d-41a4-abf2-a602c6252bc2'",",'Col':",COLUMN(TKGD_BDS_06200!D3),",'Row':",ROW(TKGD_BDS_06200!D3),",","'Format':'string'",",'Value':'",SUBSTITUTE(TKGD_BDS_06200!D3,"'","\'"),"','TargetCode':''}")</f>
        <v>{'SheetId':'a816653e-e9a7-4123-80af-e60674952def','UId':'31332aca-dc2d-41a4-abf2-a602c6252bc2','Col':4,'Row':3,'Format':'string','Value':'','TargetCode':''}</v>
      </c>
    </row>
    <row r="485" ht="12.75">
      <c r="A485" t="str">
        <f>CONCATENATE("{'SheetId':'a816653e-e9a7-4123-80af-e60674952def'",",","'UId':'25aa42d8-07d3-4d47-ba6a-9934e689c42e'",",'Col':",COLUMN(TKGD_BDS_06200!E3),",'Row':",ROW(TKGD_BDS_06200!E3),",","'Format':'numberic'",",'Value':'",SUBSTITUTE(TKGD_BDS_06200!E3,"'","\'"),"','TargetCode':''}")</f>
        <v>{'SheetId':'a816653e-e9a7-4123-80af-e60674952def','UId':'25aa42d8-07d3-4d47-ba6a-9934e689c42e','Col':5,'Row':3,'Format':'numberic','Value':' ','TargetCode':''}</v>
      </c>
    </row>
    <row r="486" ht="12.75">
      <c r="A486" t="str">
        <f>CONCATENATE("{'SheetId':'a816653e-e9a7-4123-80af-e60674952def'",",","'UId':'ec6439df-4026-4054-87b1-7ccaec21f093'",",'Col':",COLUMN(TKGD_BDS_06200!F3),",'Row':",ROW(TKGD_BDS_06200!F3),",","'Format':'string'",",'Value':'",SUBSTITUTE(TKGD_BDS_06200!F3,"'","\'"),"','TargetCode':''}")</f>
        <v>{'SheetId':'a816653e-e9a7-4123-80af-e60674952def','UId':'ec6439df-4026-4054-87b1-7ccaec21f093','Col':6,'Row':3,'Format':'string','Value':' ','TargetCode':''}</v>
      </c>
    </row>
    <row r="487" ht="12.75">
      <c r="A487" t="str">
        <f>CONCATENATE("{'SheetId':'a816653e-e9a7-4123-80af-e60674952def'",",","'UId':'aeff3610-bcf0-4189-a010-97a76653867c'",",'Col':",COLUMN(TKGD_BDS_06200!G3),",'Row':",ROW(TKGD_BDS_06200!G3),",","'Format':'string'",",'Value':'",SUBSTITUTE(TKGD_BDS_06200!G3,"'","\'"),"','TargetCode':''}")</f>
        <v>{'SheetId':'a816653e-e9a7-4123-80af-e60674952def','UId':'aeff3610-bcf0-4189-a010-97a76653867c','Col':7,'Row':3,'Format':'string','Value':' ','TargetCode':''}</v>
      </c>
    </row>
    <row r="488" ht="12.75">
      <c r="A488" t="str">
        <f>CONCATENATE("{'SheetId':'a816653e-e9a7-4123-80af-e60674952def'",",","'UId':'054d69b7-f1fb-42df-8aeb-daacdcda5ef6'",",'Col':",COLUMN(TKGD_BDS_06200!A5),",'Row':",ROW(TKGD_BDS_06200!A5),",","'ColDynamic':",COLUMN(TKGD_BDS_06200!A4),",","'RowDynamic':",ROW(TKGD_BDS_06200!A4),",","'Format':'numberic'",",'Value':'",SUBSTITUTE(TKGD_BDS_06200!A5,"'","\'"),"','TargetCode':''}")</f>
        <v>{'SheetId':'a816653e-e9a7-4123-80af-e60674952def','UId':'054d69b7-f1fb-42df-8aeb-daacdcda5ef6','Col':1,'Row':5,'ColDynamic':1,'RowDynamic':4,'Format':'numberic','Value':'','TargetCode':''}</v>
      </c>
    </row>
    <row r="489" ht="12.75">
      <c r="A489" t="str">
        <f>CONCATENATE("{'SheetId':'a816653e-e9a7-4123-80af-e60674952def'",",","'UId':'d5868dad-7127-4e98-b023-5c1891b935f0'",",'Col':",COLUMN(TKGD_BDS_06200!B5),",'Row':",ROW(TKGD_BDS_06200!B5),",","'ColDynamic':",COLUMN(TKGD_BDS_06200!B4),",","'RowDynamic':",ROW(TKGD_BDS_06200!B4),",","'Format':'string'",",'Value':'",SUBSTITUTE(TKGD_BDS_06200!B5,"'","\'"),"','TargetCode':''}")</f>
        <v>{'SheetId':'a816653e-e9a7-4123-80af-e60674952def','UId':'d5868dad-7127-4e98-b023-5c1891b935f0','Col':2,'Row':5,'ColDynamic':2,'RowDynamic':4,'Format':'string','Value':'...','TargetCode':''}</v>
      </c>
    </row>
    <row r="490" ht="12.75">
      <c r="A490" t="str">
        <f>CONCATENATE("{'SheetId':'a816653e-e9a7-4123-80af-e60674952def'",",","'UId':'b05edc52-685d-43f2-96ad-1537b4326656'",",'Col':",COLUMN(TKGD_BDS_06200!C5),",'Row':",ROW(TKGD_BDS_06200!C5),",","'ColDynamic':",COLUMN(TKGD_BDS_06200!C4),",","'RowDynamic':",ROW(TKGD_BDS_06200!C4),",","'Format':'numberic'",",'Value':'",SUBSTITUTE(TKGD_BDS_06200!C5,"'","\'"),"','TargetCode':''}")</f>
        <v>{'SheetId':'a816653e-e9a7-4123-80af-e60674952def','UId':'b05edc52-685d-43f2-96ad-1537b4326656','Col':3,'Row':5,'ColDynamic':3,'RowDynamic':4,'Format':'numberic','Value':'','TargetCode':''}</v>
      </c>
    </row>
    <row r="491" ht="12.75">
      <c r="A491" t="str">
        <f>CONCATENATE("{'SheetId':'a816653e-e9a7-4123-80af-e60674952def'",",","'UId':'da976241-d189-4db9-8057-8e43054041d9'",",'Col':",COLUMN(TKGD_BDS_06200!D5),",'Row':",ROW(TKGD_BDS_06200!D5),",","'ColDynamic':",COLUMN(TKGD_BDS_06200!D4),",","'RowDynamic':",ROW(TKGD_BDS_06200!D4),",","'Format':'string'",",'Value':'",SUBSTITUTE(TKGD_BDS_06200!D5,"'","\'"),"','TargetCode':''}")</f>
        <v>{'SheetId':'a816653e-e9a7-4123-80af-e60674952def','UId':'da976241-d189-4db9-8057-8e43054041d9','Col':4,'Row':5,'ColDynamic':4,'RowDynamic':4,'Format':'string','Value':' ','TargetCode':''}</v>
      </c>
    </row>
    <row r="492" ht="12.75">
      <c r="A492" t="str">
        <f>CONCATENATE("{'SheetId':'a816653e-e9a7-4123-80af-e60674952def'",",","'UId':'6847798b-9ab2-4b61-b883-f0f70ebcd8d5'",",'Col':",COLUMN(TKGD_BDS_06200!E5),",'Row':",ROW(TKGD_BDS_06200!E5),",","'ColDynamic':",COLUMN(TKGD_BDS_06200!E4),",","'RowDynamic':",ROW(TKGD_BDS_06200!E4),",","'Format':'numberic'",",'Value':'",SUBSTITUTE(TKGD_BDS_06200!E5,"'","\'"),"','TargetCode':''}")</f>
        <v>{'SheetId':'a816653e-e9a7-4123-80af-e60674952def','UId':'6847798b-9ab2-4b61-b883-f0f70ebcd8d5','Col':5,'Row':5,'ColDynamic':5,'RowDynamic':4,'Format':'numberic','Value':' ','TargetCode':''}</v>
      </c>
    </row>
    <row r="493" ht="12.75">
      <c r="A493" t="str">
        <f>CONCATENATE("{'SheetId':'a816653e-e9a7-4123-80af-e60674952def'",",","'UId':'4117d7fd-6ab1-4989-9a8a-58958f380dd8'",",'Col':",COLUMN(TKGD_BDS_06200!F5),",'Row':",ROW(TKGD_BDS_06200!F5),",","'ColDynamic':",COLUMN(TKGD_BDS_06200!F4),",","'RowDynamic':",ROW(TKGD_BDS_06200!F4),",","'Format':'string'",",'Value':'",SUBSTITUTE(TKGD_BDS_06200!F5,"'","\'"),"','TargetCode':''}")</f>
        <v>{'SheetId':'a816653e-e9a7-4123-80af-e60674952def','UId':'4117d7fd-6ab1-4989-9a8a-58958f380dd8','Col':6,'Row':5,'ColDynamic':6,'RowDynamic':4,'Format':'string','Value':' ','TargetCode':''}</v>
      </c>
    </row>
    <row r="494" ht="12.75">
      <c r="A494" t="str">
        <f>CONCATENATE("{'SheetId':'a816653e-e9a7-4123-80af-e60674952def'",",","'UId':'7801c5ce-46b2-46f1-8a12-d2b052dd6fc7'",",'Col':",COLUMN(TKGD_BDS_06200!G5),",'Row':",ROW(TKGD_BDS_06200!G5),",","'ColDynamic':",COLUMN(TKGD_BDS_06200!G4),",","'RowDynamic':",ROW(TKGD_BDS_06200!G4),",","'Format':'string'",",'Value':'",SUBSTITUTE(TKGD_BDS_06200!G5,"'","\'"),"','TargetCode':''}")</f>
        <v>{'SheetId':'a816653e-e9a7-4123-80af-e60674952def','UId':'7801c5ce-46b2-46f1-8a12-d2b052dd6fc7','Col':7,'Row':5,'ColDynamic':7,'RowDynamic':4,'Format':'string','Value':' ','TargetCode':''}</v>
      </c>
    </row>
    <row r="495" ht="12.75">
      <c r="A495" t="str">
        <f>CONCATENATE("{'SheetId':'a816653e-e9a7-4123-80af-e60674952def'",",","'UId':'71ea2856-962f-4cc7-b691-cd9e2d77897c'",",'Col':",COLUMN(TKGD_BDS_06200!D6),",'Row':",ROW(TKGD_BDS_06200!D6),",","'Format':'string'",",'Value':'",SUBSTITUTE(TKGD_BDS_06200!D6,"'","\'"),"','TargetCode':''}")</f>
        <v>{'SheetId':'a816653e-e9a7-4123-80af-e60674952def','UId':'71ea2856-962f-4cc7-b691-cd9e2d77897c','Col':4,'Row':6,'Format':'string','Value':' ','TargetCode':''}</v>
      </c>
    </row>
    <row r="496" ht="12.75">
      <c r="A496" t="str">
        <f>CONCATENATE("{'SheetId':'a816653e-e9a7-4123-80af-e60674952def'",",","'UId':'bda12547-8cef-486f-bbf5-d94079a29db9'",",'Col':",COLUMN(TKGD_BDS_06200!E6),",'Row':",ROW(TKGD_BDS_06200!E6),",","'Format':'numberic'",",'Value':'",SUBSTITUTE(TKGD_BDS_06200!E6,"'","\'"),"','TargetCode':''}")</f>
        <v>{'SheetId':'a816653e-e9a7-4123-80af-e60674952def','UId':'bda12547-8cef-486f-bbf5-d94079a29db9','Col':5,'Row':6,'Format':'numberic','Value':' ','TargetCode':''}</v>
      </c>
    </row>
    <row r="497" ht="12.75">
      <c r="A497" t="str">
        <f>CONCATENATE("{'SheetId':'a816653e-e9a7-4123-80af-e60674952def'",",","'UId':'37ea9c94-68c0-4d8a-91ec-a58ff13e75c8'",",'Col':",COLUMN(TKGD_BDS_06200!F6),",'Row':",ROW(TKGD_BDS_06200!F6),",","'Format':'string'",",'Value':'",SUBSTITUTE(TKGD_BDS_06200!F6,"'","\'"),"','TargetCode':''}")</f>
        <v>{'SheetId':'a816653e-e9a7-4123-80af-e60674952def','UId':'37ea9c94-68c0-4d8a-91ec-a58ff13e75c8','Col':6,'Row':6,'Format':'string','Value':' ','TargetCode':''}</v>
      </c>
    </row>
    <row r="498" ht="12.75">
      <c r="A498" t="str">
        <f>CONCATENATE("{'SheetId':'a816653e-e9a7-4123-80af-e60674952def'",",","'UId':'ad704127-56c1-4456-87d7-69ac10956813'",",'Col':",COLUMN(TKGD_BDS_06200!G6),",'Row':",ROW(TKGD_BDS_06200!G6),",","'Format':'string'",",'Value':'",SUBSTITUTE(TKGD_BDS_06200!G6,"'","\'"),"','TargetCode':''}")</f>
        <v>{'SheetId':'a816653e-e9a7-4123-80af-e60674952def','UId':'ad704127-56c1-4456-87d7-69ac10956813','Col':7,'Row':6,'Format':'string','Value':' ','TargetCode':''}</v>
      </c>
    </row>
    <row r="499" ht="12.75">
      <c r="A499" t="str">
        <f>CONCATENATE("{'SheetId':'a816653e-e9a7-4123-80af-e60674952def'",",","'UId':'caa094be-77c3-43c1-b62e-8dcf7ff47fd2'",",'Col':",COLUMN(TKGD_BDS_06200!E7),",'Row':",ROW(TKGD_BDS_06200!E7),",","'Format':'numberic'",",'Value':'",SUBSTITUTE(TKGD_BDS_06200!E7,"'","\'"),"','TargetCode':''}")</f>
        <v>{'SheetId':'a816653e-e9a7-4123-80af-e60674952def','UId':'caa094be-77c3-43c1-b62e-8dcf7ff47fd2','Col':5,'Row':7,'Format':'numberic','Value':'0','TargetCode':''}</v>
      </c>
    </row>
    <row r="500" ht="12.75">
      <c r="A500" t="str">
        <f>CONCATENATE("{'SheetId':'a816653e-e9a7-4123-80af-e60674952def'",",","'UId':'1d70521f-0399-485e-beda-56c4c8d8f0a3'",",'Col':",COLUMN(TKGD_BDS_06200!G7),",'Row':",ROW(TKGD_BDS_06200!G7),",","'Format':'string'",",'Value':'",SUBSTITUTE(TKGD_BDS_06200!G7,"'","\'"),"','TargetCode':''}")</f>
        <v>{'SheetId':'a816653e-e9a7-4123-80af-e60674952def','UId':'1d70521f-0399-485e-beda-56c4c8d8f0a3','Col':7,'Row':7,'Format':'string','Value':'...','TargetCode':''}</v>
      </c>
    </row>
    <row r="501" ht="12.75">
      <c r="A501" t="str">
        <f>CONCATENATE("{'SheetId':'a816653e-e9a7-4123-80af-e60674952def'",",","'UId':'e51b7982-cf25-45db-a6da-d66ad2218596'",",'Col':",COLUMN(TKGD_BDS_06200!A8),",'Row':",ROW(TKGD_BDS_06200!A8),",","'ColDynamic':",COLUMN(TKGD_BDS_06200!A8),",","'RowDynamic':",ROW(TKGD_BDS_06200!A8),",","'Format':'numberic'",",'Value':'",SUBSTITUTE(TKGD_BDS_06200!A8,"'","\'"),"','TargetCode':''}")</f>
        <v>{'SheetId':'a816653e-e9a7-4123-80af-e60674952def','UId':'e51b7982-cf25-45db-a6da-d66ad2218596','Col':1,'Row':8,'ColDynamic':1,'RowDynamic':8,'Format':'numberic','Value':'','TargetCode':''}</v>
      </c>
    </row>
    <row r="502" ht="12.75">
      <c r="A502" t="str">
        <f>CONCATENATE("{'SheetId':'a816653e-e9a7-4123-80af-e60674952def'",",","'UId':'9e91f515-4401-4a6a-aaaa-95a3c70451c9'",",'Col':",COLUMN(TKGD_BDS_06200!B8),",'Row':",ROW(TKGD_BDS_06200!B8),",","'ColDynamic':",COLUMN(TKGD_BDS_06200!B8),",","'RowDynamic':",ROW(TKGD_BDS_06200!B8),",","'Format':'string'",",'Value':'",SUBSTITUTE(TKGD_BDS_06200!B8,"'","\'"),"','TargetCode':''}")</f>
        <v>{'SheetId':'a816653e-e9a7-4123-80af-e60674952def','UId':'9e91f515-4401-4a6a-aaaa-95a3c70451c9','Col':2,'Row':8,'ColDynamic':2,'RowDynamic':8,'Format':'string','Value':'...','TargetCode':''}</v>
      </c>
    </row>
    <row r="503" ht="12.75">
      <c r="A503" t="str">
        <f>CONCATENATE("{'SheetId':'a816653e-e9a7-4123-80af-e60674952def'",",","'UId':'c13cf43f-5e58-4f26-b29a-e858d1b72028'",",'Col':",COLUMN(TKGD_BDS_06200!C8),",'Row':",ROW(TKGD_BDS_06200!C8),",","'ColDynamic':",COLUMN(TKGD_BDS_06200!C8),",","'RowDynamic':",ROW(TKGD_BDS_06200!C8),",","'Format':'numberic'",",'Value':'",SUBSTITUTE(TKGD_BDS_06200!C8,"'","\'"),"','TargetCode':''}")</f>
        <v>{'SheetId':'a816653e-e9a7-4123-80af-e60674952def','UId':'c13cf43f-5e58-4f26-b29a-e858d1b72028','Col':3,'Row':8,'ColDynamic':3,'RowDynamic':8,'Format':'numberic','Value':'','TargetCode':''}</v>
      </c>
    </row>
    <row r="504" ht="12.75">
      <c r="A504" t="str">
        <f>CONCATENATE("{'SheetId':'a816653e-e9a7-4123-80af-e60674952def'",",","'UId':'221dadd8-36a1-4539-a40c-fca86ed1a33c'",",'Col':",COLUMN(TKGD_BDS_06200!D8),",'Row':",ROW(TKGD_BDS_06200!D8),",","'ColDynamic':",COLUMN(TKGD_BDS_06200!D8),",","'RowDynamic':",ROW(TKGD_BDS_06200!D8),",","'Format':'string'",",'Value':'",SUBSTITUTE(TKGD_BDS_06200!D8,"'","\'"),"','TargetCode':''}")</f>
        <v>{'SheetId':'a816653e-e9a7-4123-80af-e60674952def','UId':'221dadd8-36a1-4539-a40c-fca86ed1a33c','Col':4,'Row':8,'ColDynamic':4,'RowDynamic':8,'Format':'string','Value':' ','TargetCode':''}</v>
      </c>
    </row>
    <row r="505" ht="12.75">
      <c r="A505" t="str">
        <f>CONCATENATE("{'SheetId':'a816653e-e9a7-4123-80af-e60674952def'",",","'UId':'e47d4318-31fa-495a-8913-e837414b271b'",",'Col':",COLUMN(TKGD_BDS_06200!E8),",'Row':",ROW(TKGD_BDS_06200!E8),",","'Format':'numberic'",",'Value':'",SUBSTITUTE(TKGD_BDS_06200!E8,"'","\'"),"','TargetCode':''}")</f>
        <v>{'SheetId':'a816653e-e9a7-4123-80af-e60674952def','UId':'e47d4318-31fa-495a-8913-e837414b271b','Col':5,'Row':8,'Format':'numberic','Value':' ','TargetCode':''}</v>
      </c>
    </row>
    <row r="506" ht="12.75">
      <c r="A506" t="str">
        <f>CONCATENATE("{'SheetId':'a816653e-e9a7-4123-80af-e60674952def'",",","'UId':'4dde94f5-3416-4b62-8ce1-a01d37ded1b8'",",'Col':",COLUMN(TKGD_BDS_06200!F8),",'Row':",ROW(TKGD_BDS_06200!F8),",","'ColDynamic':",COLUMN(TKGD_BDS_06200!F8),",","'RowDynamic':",ROW(TKGD_BDS_06200!F8),",","'Format':'string'",",'Value':'",SUBSTITUTE(TKGD_BDS_06200!F8,"'","\'"),"','TargetCode':''}")</f>
        <v>{'SheetId':'a816653e-e9a7-4123-80af-e60674952def','UId':'4dde94f5-3416-4b62-8ce1-a01d37ded1b8','Col':6,'Row':8,'ColDynamic':6,'RowDynamic':8,'Format':'string','Value':' ','TargetCode':''}</v>
      </c>
    </row>
    <row r="507" ht="12.75">
      <c r="A507" t="str">
        <f>CONCATENATE("{'SheetId':'a816653e-e9a7-4123-80af-e60674952def'",",","'UId':'bb493edb-4a94-4fc9-a8e4-e5446171939d'",",'Col':",COLUMN(TKGD_BDS_06200!G8),",'Row':",ROW(TKGD_BDS_06200!G8),",","'Format':'string'",",'Value':'",SUBSTITUTE(TKGD_BDS_06200!G8,"'","\'"),"','TargetCode':''}")</f>
        <v>{'SheetId':'a816653e-e9a7-4123-80af-e60674952def','UId':'bb493edb-4a94-4fc9-a8e4-e5446171939d','Col':7,'Row':8,'Format':'string','Value':' ','TargetCode':''}</v>
      </c>
    </row>
    <row r="508" ht="12.75">
      <c r="A508" t="str">
        <f>CONCATENATE("{'SheetId':'a816653e-e9a7-4123-80af-e60674952def'",",","'UId':'62735832-1f5c-4a87-8bf5-7d3cd0cbea93'",",'Col':",COLUMN(TKGD_BDS_06200!E9),",'Row':",ROW(TKGD_BDS_06200!E9),",","'Format':'numberic'",",'Value':'",SUBSTITUTE(TKGD_BDS_06200!E9,"'","\'"),"','TargetCode':''}")</f>
        <v>{'SheetId':'a816653e-e9a7-4123-80af-e60674952def','UId':'62735832-1f5c-4a87-8bf5-7d3cd0cbea93','Col':5,'Row':9,'Format':'numberic','Value':' ','TargetCode':''}</v>
      </c>
    </row>
    <row r="509" ht="12.75">
      <c r="A509" t="str">
        <f>CONCATENATE("{'SheetId':'a816653e-e9a7-4123-80af-e60674952def'",",","'UId':'c24722f0-df10-43e3-912e-08ce379c3288'",",'Col':",COLUMN(TKGD_BDS_06200!G9),",'Row':",ROW(TKGD_BDS_06200!G9),",","'Format':'string'",",'Value':'",SUBSTITUTE(TKGD_BDS_06200!G9,"'","\'"),"','TargetCode':''}")</f>
        <v>{'SheetId':'a816653e-e9a7-4123-80af-e60674952def','UId':'c24722f0-df10-43e3-912e-08ce379c3288','Col':7,'Row':9,'Format':'string','Value':' ','TargetCode':''}</v>
      </c>
    </row>
    <row r="510" ht="12.75">
      <c r="A510" t="str">
        <f>CONCATENATE("{'SheetId':'a816653e-e9a7-4123-80af-e60674952def'",",","'UId':'39d38310-91c3-47ef-8263-f795c968da7e'",",'Col':",COLUMN(TKGD_BDS_06200!G10),",'Row':",ROW(TKGD_BDS_06200!G10),",","'Format':'string'",",'Value':'",SUBSTITUTE(TKGD_BDS_06200!G10,"'","\'"),"','TargetCode':''}")</f>
        <v>{'SheetId':'a816653e-e9a7-4123-80af-e60674952def','UId':'39d38310-91c3-47ef-8263-f795c968da7e','Col':7,'Row':10,'Format':'string','Value':'...','TargetCode':''}</v>
      </c>
    </row>
    <row r="511" ht="12.75">
      <c r="A511" t="str">
        <f>CONCATENATE("{'SheetId':'a816653e-e9a7-4123-80af-e60674952def'",",","'UId':'ba618934-c376-4f04-a464-20bdb92c5c02'",",'Col':",COLUMN(TKGD_BDS_06200!A11),",'Row':",ROW(TKGD_BDS_06200!A11),",","'ColDynamic':",COLUMN(TKGD_BDS_06200!A12),",","'RowDynamic':",ROW(TKGD_BDS_06200!A12),",","'Format':'numberic'",",'Value':'",SUBSTITUTE(TKGD_BDS_06200!A11,"'","\'"),"','TargetCode':''}")</f>
        <v>{'SheetId':'a816653e-e9a7-4123-80af-e60674952def','UId':'ba618934-c376-4f04-a464-20bdb92c5c02','Col':1,'Row':11,'ColDynamic':1,'RowDynamic':12,'Format':'numberic','Value':'','TargetCode':''}</v>
      </c>
    </row>
    <row r="512" ht="12.75">
      <c r="A512" t="str">
        <f>CONCATENATE("{'SheetId':'a816653e-e9a7-4123-80af-e60674952def'",",","'UId':'358338ae-c792-4fd5-9615-fc57e2628cbe'",",'Col':",COLUMN(TKGD_BDS_06200!B11),",'Row':",ROW(TKGD_BDS_06200!B11),",","'ColDynamic':",COLUMN(TKGD_BDS_06200!B12),",","'RowDynamic':",ROW(TKGD_BDS_06200!B12),",","'Format':'string'",",'Value':'",SUBSTITUTE(TKGD_BDS_06200!B11,"'","\'"),"','TargetCode':''}")</f>
        <v>{'SheetId':'a816653e-e9a7-4123-80af-e60674952def','UId':'358338ae-c792-4fd5-9615-fc57e2628cbe','Col':2,'Row':11,'ColDynamic':2,'RowDynamic':12,'Format':'string','Value':'...','TargetCode':''}</v>
      </c>
    </row>
    <row r="513" ht="12.75">
      <c r="A513" t="str">
        <f>CONCATENATE("{'SheetId':'a816653e-e9a7-4123-80af-e60674952def'",",","'UId':'52729849-6865-44fd-abe0-5ae6d80e28d8'",",'Col':",COLUMN(TKGD_BDS_06200!C11),",'Row':",ROW(TKGD_BDS_06200!C11),",","'ColDynamic':",COLUMN(TKGD_BDS_06200!C12),",","'RowDynamic':",ROW(TKGD_BDS_06200!C12),",","'Format':'numberic'",",'Value':'",SUBSTITUTE(TKGD_BDS_06200!C11,"'","\'"),"','TargetCode':''}")</f>
        <v>{'SheetId':'a816653e-e9a7-4123-80af-e60674952def','UId':'52729849-6865-44fd-abe0-5ae6d80e28d8','Col':3,'Row':11,'ColDynamic':3,'RowDynamic':12,'Format':'numberic','Value':'','TargetCode':''}</v>
      </c>
    </row>
    <row r="514" ht="12.75">
      <c r="A514" t="str">
        <f>CONCATENATE("{'SheetId':'a816653e-e9a7-4123-80af-e60674952def'",",","'UId':'3b24fe10-2510-45b0-986c-d7bfafda274b'",",'Col':",COLUMN(TKGD_BDS_06200!D11),",'Row':",ROW(TKGD_BDS_06200!D11),",","'ColDynamic':",COLUMN(TKGD_BDS_06200!D12),",","'RowDynamic':",ROW(TKGD_BDS_06200!D12),",","'Format':'string'",",'Value':'",SUBSTITUTE(TKGD_BDS_06200!D11,"'","\'"),"','TargetCode':''}")</f>
        <v>{'SheetId':'a816653e-e9a7-4123-80af-e60674952def','UId':'3b24fe10-2510-45b0-986c-d7bfafda274b','Col':4,'Row':11,'ColDynamic':4,'RowDynamic':12,'Format':'string','Value':' ','TargetCode':''}</v>
      </c>
    </row>
    <row r="515" ht="12.75">
      <c r="A515" t="str">
        <f>CONCATENATE("{'SheetId':'a816653e-e9a7-4123-80af-e60674952def'",",","'UId':'dab391e5-3eb2-4b5a-b2b5-5c7bb9dd0082'",",'Col':",COLUMN(TKGD_BDS_06200!E11),",'Row':",ROW(TKGD_BDS_06200!E11),",","'ColDynamic':",COLUMN(TKGD_BDS_06200!E10),",","'RowDynamic':",ROW(TKGD_BDS_06200!E10),",","'Format':'numberic'",",'Value':'",SUBSTITUTE(TKGD_BDS_06200!E11,"'","\'"),"','TargetCode':''}")</f>
        <v>{'SheetId':'a816653e-e9a7-4123-80af-e60674952def','UId':'dab391e5-3eb2-4b5a-b2b5-5c7bb9dd0082','Col':5,'Row':11,'ColDynamic':5,'RowDynamic':10,'Format':'numberic','Value':' ','TargetCode':''}</v>
      </c>
    </row>
    <row r="516" ht="12.75">
      <c r="A516" t="str">
        <f>CONCATENATE("{'SheetId':'a816653e-e9a7-4123-80af-e60674952def'",",","'UId':'af7a50be-9a45-40dc-b75d-89c713560cce'",",'Col':",COLUMN(TKGD_BDS_06200!F11),",'Row':",ROW(TKGD_BDS_06200!F11),",","'ColDynamic':",COLUMN(TKGD_BDS_06200!F12),",","'RowDynamic':",ROW(TKGD_BDS_06200!F12),",","'Format':'string'",",'Value':'",SUBSTITUTE(TKGD_BDS_06200!F11,"'","\'"),"','TargetCode':''}")</f>
        <v>{'SheetId':'a816653e-e9a7-4123-80af-e60674952def','UId':'af7a50be-9a45-40dc-b75d-89c713560cce','Col':6,'Row':11,'ColDynamic':6,'RowDynamic':12,'Format':'string','Value':' ','TargetCode':''}</v>
      </c>
    </row>
    <row r="517" ht="12.75">
      <c r="A517" t="str">
        <f>CONCATENATE("{'SheetId':'a816653e-e9a7-4123-80af-e60674952def'",",","'UId':'ad5a9c20-6753-4731-8b91-7314007fef69'",",'Col':",COLUMN(TKGD_BDS_06200!G11),",'Row':",ROW(TKGD_BDS_06200!G11),",","'Format':'string'",",'Value':'",SUBSTITUTE(TKGD_BDS_06200!G11,"'","\'"),"','TargetCode':''}")</f>
        <v>{'SheetId':'a816653e-e9a7-4123-80af-e60674952def','UId':'ad5a9c20-6753-4731-8b91-7314007fef69','Col':7,'Row':11,'Format':'string','Value':' ','TargetCode':''}</v>
      </c>
    </row>
    <row r="518" ht="12.75">
      <c r="A518" t="str">
        <f>CONCATENATE("{'SheetId':'a816653e-e9a7-4123-80af-e60674952def'",",","'UId':'cf2f8334-f95f-4fad-8f56-036d0a88b692'",",'Col':",COLUMN(TKGD_BDS_06200!D12),",'Row':",ROW(TKGD_BDS_06200!D12),",","'Format':'string'",",'Value':'",SUBSTITUTE(TKGD_BDS_06200!D12,"'","\'"),"','TargetCode':''}")</f>
        <v>{'SheetId':'a816653e-e9a7-4123-80af-e60674952def','UId':'cf2f8334-f95f-4fad-8f56-036d0a88b692','Col':4,'Row':12,'Format':'string','Value':' ','TargetCode':''}</v>
      </c>
    </row>
    <row r="519" ht="12.75">
      <c r="A519" t="str">
        <f>CONCATENATE("{'SheetId':'a816653e-e9a7-4123-80af-e60674952def'",",","'UId':'2590e8d1-416b-4762-90ec-8ae9c75dcb87'",",'Col':",COLUMN(TKGD_BDS_06200!E12),",'Row':",ROW(TKGD_BDS_06200!E12),",","'Format':'numberic'",",'Value':'",SUBSTITUTE(TKGD_BDS_06200!E12,"'","\'"),"','TargetCode':''}")</f>
        <v>{'SheetId':'a816653e-e9a7-4123-80af-e60674952def','UId':'2590e8d1-416b-4762-90ec-8ae9c75dcb87','Col':5,'Row':12,'Format':'numberic','Value':' ','TargetCode':''}</v>
      </c>
    </row>
    <row r="520" ht="12.75">
      <c r="A520" t="str">
        <f>CONCATENATE("{'SheetId':'a816653e-e9a7-4123-80af-e60674952def'",",","'UId':'6672d8dc-efca-430c-92bb-a969a80ab2a8'",",'Col':",COLUMN(TKGD_BDS_06200!F12),",'Row':",ROW(TKGD_BDS_06200!F12),",","'Format':'string'",",'Value':'",SUBSTITUTE(TKGD_BDS_06200!F12,"'","\'"),"','TargetCode':''}")</f>
        <v>{'SheetId':'a816653e-e9a7-4123-80af-e60674952def','UId':'6672d8dc-efca-430c-92bb-a969a80ab2a8','Col':6,'Row':12,'Format':'string','Value':' ','TargetCode':''}</v>
      </c>
    </row>
    <row r="521" ht="12.75">
      <c r="A521" t="str">
        <f>CONCATENATE("{'SheetId':'a816653e-e9a7-4123-80af-e60674952def'",",","'UId':'c8402aee-c13e-4b9d-aeeb-0a770de34dbe'",",'Col':",COLUMN(TKGD_BDS_06200!G12),",'Row':",ROW(TKGD_BDS_06200!G12),",","'Format':'string'",",'Value':'",SUBSTITUTE(TKGD_BDS_06200!G12,"'","\'"),"','TargetCode':''}")</f>
        <v>{'SheetId':'a816653e-e9a7-4123-80af-e60674952def','UId':'c8402aee-c13e-4b9d-aeeb-0a770de34dbe','Col':7,'Row':12,'Format':'string','Value':' ','TargetCode':''}</v>
      </c>
    </row>
    <row r="522" ht="12.75">
      <c r="A522" t="str">
        <f>CONCATENATE("{'SheetId':'a816653e-e9a7-4123-80af-e60674952def'",",","'UId':'48994a17-627d-402e-b2e5-d3039fb1d879'",",'Col':",COLUMN(TKGD_BDS_06200!E13),",'Row':",ROW(TKGD_BDS_06200!E13),",","'Format':'numberic'",",'Value':'",SUBSTITUTE(TKGD_BDS_06200!E13,"'","\'"),"','TargetCode':''}")</f>
        <v>{'SheetId':'a816653e-e9a7-4123-80af-e60674952def','UId':'48994a17-627d-402e-b2e5-d3039fb1d879','Col':5,'Row':13,'Format':'numberic','Value':'0','TargetCode':''}</v>
      </c>
    </row>
    <row r="523" ht="12.75">
      <c r="A523" t="str">
        <f>CONCATENATE("{'SheetId':'a816653e-e9a7-4123-80af-e60674952def'",",","'UId':'ad46227d-da1d-48a7-bc2d-635c6fe67e30'",",'Col':",COLUMN(TKGD_BDS_06200!G13),",'Row':",ROW(TKGD_BDS_06200!G13),",","'Format':'string'",",'Value':'",SUBSTITUTE(TKGD_BDS_06200!G13,"'","\'"),"','TargetCode':''}")</f>
        <v>{'SheetId':'a816653e-e9a7-4123-80af-e60674952def','UId':'ad46227d-da1d-48a7-bc2d-635c6fe67e30','Col':7,'Row':13,'Format':'string','Value':'...','TargetCode':''}</v>
      </c>
    </row>
    <row r="524" ht="12.75">
      <c r="A524" t="str">
        <f>CONCATENATE("{'SheetId':'a816653e-e9a7-4123-80af-e60674952def'",",","'UId':'7ad3b72b-ca9d-4a4e-8045-811677b3cb5c'",",'Col':",COLUMN(TKGD_BDS_06200!A14),",'Row':",ROW(TKGD_BDS_06200!A14),",","'ColDynamic':",COLUMN(TKGD_BDS_06200!A16),",","'RowDynamic':",ROW(TKGD_BDS_06200!A16),",","'Format':'numberic'",",'Value':'",SUBSTITUTE(TKGD_BDS_06200!A14,"'","\'"),"','TargetCode':''}")</f>
        <v>{'SheetId':'a816653e-e9a7-4123-80af-e60674952def','UId':'7ad3b72b-ca9d-4a4e-8045-811677b3cb5c','Col':1,'Row':14,'ColDynamic':1,'RowDynamic':16,'Format':'numberic','Value':'','TargetCode':''}</v>
      </c>
    </row>
    <row r="525" ht="12.75">
      <c r="A525" t="str">
        <f>CONCATENATE("{'SheetId':'a816653e-e9a7-4123-80af-e60674952def'",",","'UId':'20e26c40-e5a5-413f-b076-449506c3ee68'",",'Col':",COLUMN(TKGD_BDS_06200!B14),",'Row':",ROW(TKGD_BDS_06200!B14),",","'ColDynamic':",COLUMN(TKGD_BDS_06200!B16),",","'RowDynamic':",ROW(TKGD_BDS_06200!B16),",","'Format':'string'",",'Value':'",SUBSTITUTE(TKGD_BDS_06200!B14,"'","\'"),"','TargetCode':''}")</f>
        <v>{'SheetId':'a816653e-e9a7-4123-80af-e60674952def','UId':'20e26c40-e5a5-413f-b076-449506c3ee68','Col':2,'Row':14,'ColDynamic':2,'RowDynamic':16,'Format':'string','Value':'...','TargetCode':''}</v>
      </c>
    </row>
    <row r="526" ht="12.75">
      <c r="A526" t="str">
        <f>CONCATENATE("{'SheetId':'a816653e-e9a7-4123-80af-e60674952def'",",","'UId':'03556b18-f9ca-42eb-80d6-b2164c7e0cba'",",'Col':",COLUMN(TKGD_BDS_06200!C14),",'Row':",ROW(TKGD_BDS_06200!C14),",","'ColDynamic':",COLUMN(TKGD_BDS_06200!C16),",","'RowDynamic':",ROW(TKGD_BDS_06200!C16),",","'Format':'numberic'",",'Value':'",SUBSTITUTE(TKGD_BDS_06200!C14,"'","\'"),"','TargetCode':''}")</f>
        <v>{'SheetId':'a816653e-e9a7-4123-80af-e60674952def','UId':'03556b18-f9ca-42eb-80d6-b2164c7e0cba','Col':3,'Row':14,'ColDynamic':3,'RowDynamic':16,'Format':'numberic','Value':'','TargetCode':''}</v>
      </c>
    </row>
    <row r="527" ht="12.75">
      <c r="A527" t="str">
        <f>CONCATENATE("{'SheetId':'a816653e-e9a7-4123-80af-e60674952def'",",","'UId':'9c8debd0-8014-4eb7-a07e-bf4d28e4b3c7'",",'Col':",COLUMN(TKGD_BDS_06200!D14),",'Row':",ROW(TKGD_BDS_06200!D14),",","'ColDynamic':",COLUMN(TKGD_BDS_06200!D16),",","'RowDynamic':",ROW(TKGD_BDS_06200!D16),",","'Format':'string'",",'Value':'",SUBSTITUTE(TKGD_BDS_06200!D14,"'","\'"),"','TargetCode':''}")</f>
        <v>{'SheetId':'a816653e-e9a7-4123-80af-e60674952def','UId':'9c8debd0-8014-4eb7-a07e-bf4d28e4b3c7','Col':4,'Row':14,'ColDynamic':4,'RowDynamic':16,'Format':'string','Value':'','TargetCode':''}</v>
      </c>
    </row>
    <row r="528" ht="12.75">
      <c r="A528" t="str">
        <f>CONCATENATE("{'SheetId':'a816653e-e9a7-4123-80af-e60674952def'",",","'UId':'1880a790-6955-4645-8053-076ec1d53926'",",'Col':",COLUMN(TKGD_BDS_06200!E14),",'Row':",ROW(TKGD_BDS_06200!E14),",","'Format':'numberic'",",'Value':'",SUBSTITUTE(TKGD_BDS_06200!E14,"'","\'"),"','TargetCode':''}")</f>
        <v>{'SheetId':'a816653e-e9a7-4123-80af-e60674952def','UId':'1880a790-6955-4645-8053-076ec1d53926','Col':5,'Row':14,'Format':'numberic','Value':'','TargetCode':''}</v>
      </c>
    </row>
    <row r="529" ht="12.75">
      <c r="A529" t="str">
        <f>CONCATENATE("{'SheetId':'a816653e-e9a7-4123-80af-e60674952def'",",","'UId':'56034a94-aa0a-4f12-b9f4-3e6d28f5962f'",",'Col':",COLUMN(TKGD_BDS_06200!F14),",'Row':",ROW(TKGD_BDS_06200!F14),",","'ColDynamic':",COLUMN(TKGD_BDS_06200!F16),",","'RowDynamic':",ROW(TKGD_BDS_06200!F16),",","'Format':'string'",",'Value':'",SUBSTITUTE(TKGD_BDS_06200!F14,"'","\'"),"','TargetCode':''}")</f>
        <v>{'SheetId':'a816653e-e9a7-4123-80af-e60674952def','UId':'56034a94-aa0a-4f12-b9f4-3e6d28f5962f','Col':6,'Row':14,'ColDynamic':6,'RowDynamic':16,'Format':'string','Value':'','TargetCode':''}</v>
      </c>
    </row>
    <row r="530" ht="12.75">
      <c r="A530" t="str">
        <f>CONCATENATE("{'SheetId':'a816653e-e9a7-4123-80af-e60674952def'",",","'UId':'15ee2e58-a461-49a4-b422-fa1780f9047b'",",'Col':",COLUMN(TKGD_BDS_06200!G14),",'Row':",ROW(TKGD_BDS_06200!G14),",","'Format':'string'",",'Value':'",SUBSTITUTE(TKGD_BDS_06200!G14,"'","\'"),"','TargetCode':''}")</f>
        <v>{'SheetId':'a816653e-e9a7-4123-80af-e60674952def','UId':'15ee2e58-a461-49a4-b422-fa1780f9047b','Col':7,'Row':14,'Format':'string','Value':'','TargetCode':''}</v>
      </c>
    </row>
    <row r="531" ht="12.75">
      <c r="A531" t="str">
        <f>CONCATENATE("{'SheetId':'a816653e-e9a7-4123-80af-e60674952def'",",","'UId':'3add3d89-d362-4dab-bc45-8b8d90abfa2b'",",'Col':",COLUMN(TKGD_BDS_06200!D15),",'Row':",ROW(TKGD_BDS_06200!D15),",","'Format':'string'",",'Value':'",SUBSTITUTE(TKGD_BDS_06200!D15,"'","\'"),"','TargetCode':''}")</f>
        <v>{'SheetId':'a816653e-e9a7-4123-80af-e60674952def','UId':'3add3d89-d362-4dab-bc45-8b8d90abfa2b','Col':4,'Row':15,'Format':'string','Value':' ','TargetCode':''}</v>
      </c>
    </row>
    <row r="532" ht="12.75">
      <c r="A532" t="str">
        <f>CONCATENATE("{'SheetId':'a816653e-e9a7-4123-80af-e60674952def'",",","'UId':'7b382ea1-520f-4c60-8863-788777f10da9'",",'Col':",COLUMN(TKGD_BDS_06200!E15),",'Row':",ROW(TKGD_BDS_06200!E15),",","'Format':'numberic'",",'Value':'",SUBSTITUTE(TKGD_BDS_06200!E15,"'","\'"),"','TargetCode':''}")</f>
        <v>{'SheetId':'a816653e-e9a7-4123-80af-e60674952def','UId':'7b382ea1-520f-4c60-8863-788777f10da9','Col':5,'Row':15,'Format':'numberic','Value':' ','TargetCode':''}</v>
      </c>
    </row>
    <row r="533" ht="12.75">
      <c r="A533" t="str">
        <f>CONCATENATE("{'SheetId':'a816653e-e9a7-4123-80af-e60674952def'",",","'UId':'ce3f8a5c-c242-4888-bb56-30c9024b84a8'",",'Col':",COLUMN(TKGD_BDS_06200!F15),",'Row':",ROW(TKGD_BDS_06200!F15),",","'Format':'string'",",'Value':'",SUBSTITUTE(TKGD_BDS_06200!F15,"'","\'"),"','TargetCode':''}")</f>
        <v>{'SheetId':'a816653e-e9a7-4123-80af-e60674952def','UId':'ce3f8a5c-c242-4888-bb56-30c9024b84a8','Col':6,'Row':15,'Format':'string','Value':' ','TargetCode':''}</v>
      </c>
    </row>
    <row r="534" ht="12.75">
      <c r="A534" t="str">
        <f>CONCATENATE("{'SheetId':'a816653e-e9a7-4123-80af-e60674952def'",",","'UId':'087d0790-15e9-4b03-ab1f-1fed1b5d70bf'",",'Col':",COLUMN(TKGD_BDS_06200!G15),",'Row':",ROW(TKGD_BDS_06200!G15),",","'Format':'string'",",'Value':'",SUBSTITUTE(TKGD_BDS_06200!G15,"'","\'"),"','TargetCode':''}")</f>
        <v>{'SheetId':'a816653e-e9a7-4123-80af-e60674952def','UId':'087d0790-15e9-4b03-ab1f-1fed1b5d70bf','Col':7,'Row':15,'Format':'string','Value':' ','TargetCode':''}</v>
      </c>
    </row>
    <row r="535" ht="12.75">
      <c r="A535" t="str">
        <f>CONCATENATE("{'SheetId':'a816653e-e9a7-4123-80af-e60674952def'",",","'UId':'324a10d4-ab3f-446b-936d-08aad1654000'",",'Col':",COLUMN(TKGD_BDS_06200!G16),",'Row':",ROW(TKGD_BDS_06200!G16),",","'Format':'string'",",'Value':'",SUBSTITUTE(TKGD_BDS_06200!G16,"'","\'"),"','TargetCode':''}")</f>
        <v>{'SheetId':'a816653e-e9a7-4123-80af-e60674952def','UId':'324a10d4-ab3f-446b-936d-08aad1654000','Col':7,'Row':16,'Format':'string','Value':'...','TargetCode':''}</v>
      </c>
    </row>
    <row r="536" ht="12.75">
      <c r="A536" t="str">
        <f>CONCATENATE("{'SheetId':'a816653e-e9a7-4123-80af-e60674952def'",",","'UId':'fa37256f-af69-4a38-8941-bc45e2d4b24f'",",'Col':",COLUMN(TKGD_BDS_06200!A17),",'Row':",ROW(TKGD_BDS_06200!A17),",","'ColDynamic':",COLUMN(TKGD_BDS_06200!A19),",","'RowDynamic':",ROW(TKGD_BDS_06200!A19),",","'Format':'numberic'",",'Value':'",SUBSTITUTE(TKGD_BDS_06200!A17,"'","\'"),"','TargetCode':''}")</f>
        <v>{'SheetId':'a816653e-e9a7-4123-80af-e60674952def','UId':'fa37256f-af69-4a38-8941-bc45e2d4b24f','Col':1,'Row':17,'ColDynamic':1,'RowDynamic':19,'Format':'numberic','Value':'','TargetCode':''}</v>
      </c>
    </row>
    <row r="537" ht="12.75">
      <c r="A537" t="str">
        <f>CONCATENATE("{'SheetId':'a816653e-e9a7-4123-80af-e60674952def'",",","'UId':'4a32406c-21ce-4e1a-af4e-2132154b745c'",",'Col':",COLUMN(TKGD_BDS_06200!B17),",'Row':",ROW(TKGD_BDS_06200!B17),",","'ColDynamic':",COLUMN(TKGD_BDS_06200!B19),",","'RowDynamic':",ROW(TKGD_BDS_06200!B19),",","'Format':'string'",",'Value':'",SUBSTITUTE(TKGD_BDS_06200!B17,"'","\'"),"','TargetCode':''}")</f>
        <v>{'SheetId':'a816653e-e9a7-4123-80af-e60674952def','UId':'4a32406c-21ce-4e1a-af4e-2132154b745c','Col':2,'Row':17,'ColDynamic':2,'RowDynamic':19,'Format':'string','Value':'...','TargetCode':''}</v>
      </c>
    </row>
    <row r="538" ht="12.75">
      <c r="A538" t="str">
        <f>CONCATENATE("{'SheetId':'a816653e-e9a7-4123-80af-e60674952def'",",","'UId':'e824fc9c-711f-43dd-9396-fbc85d9a34d3'",",'Col':",COLUMN(TKGD_BDS_06200!C17),",'Row':",ROW(TKGD_BDS_06200!C17),",","'ColDynamic':",COLUMN(TKGD_BDS_06200!C19),",","'RowDynamic':",ROW(TKGD_BDS_06200!C19),",","'Format':'numberic'",",'Value':'",SUBSTITUTE(TKGD_BDS_06200!C17,"'","\'"),"','TargetCode':''}")</f>
        <v>{'SheetId':'a816653e-e9a7-4123-80af-e60674952def','UId':'e824fc9c-711f-43dd-9396-fbc85d9a34d3','Col':3,'Row':17,'ColDynamic':3,'RowDynamic':19,'Format':'numberic','Value':'','TargetCode':''}</v>
      </c>
    </row>
    <row r="539" ht="12.75">
      <c r="A539" t="str">
        <f>CONCATENATE("{'SheetId':'a816653e-e9a7-4123-80af-e60674952def'",",","'UId':'8a9c5c14-f9ba-4d32-9755-4807b35211ee'",",'Col':",COLUMN(TKGD_BDS_06200!D17),",'Row':",ROW(TKGD_BDS_06200!D17),",","'ColDynamic':",COLUMN(TKGD_BDS_06200!D19),",","'RowDynamic':",ROW(TKGD_BDS_06200!D19),",","'Format':'string'",",'Value':'",SUBSTITUTE(TKGD_BDS_06200!D17,"'","\'"),"','TargetCode':''}")</f>
        <v>{'SheetId':'a816653e-e9a7-4123-80af-e60674952def','UId':'8a9c5c14-f9ba-4d32-9755-4807b35211ee','Col':4,'Row':17,'ColDynamic':4,'RowDynamic':19,'Format':'string','Value':'','TargetCode':''}</v>
      </c>
    </row>
    <row r="540" ht="12.75">
      <c r="A540" t="str">
        <f>CONCATENATE("{'SheetId':'a816653e-e9a7-4123-80af-e60674952def'",",","'UId':'7a7e6651-071f-4d81-ac93-e0654b54de4f'",",'Col':",COLUMN(TKGD_BDS_06200!E17),",'Row':",ROW(TKGD_BDS_06200!E17),",","'ColDynamic':",COLUMN(TKGD_BDS_06200!E16),",","'RowDynamic':",ROW(TKGD_BDS_06200!E16),",","'Format':'numberic'",",'Value':'",SUBSTITUTE(TKGD_BDS_06200!E17,"'","\'"),"','TargetCode':''}")</f>
        <v>{'SheetId':'a816653e-e9a7-4123-80af-e60674952def','UId':'7a7e6651-071f-4d81-ac93-e0654b54de4f','Col':5,'Row':17,'ColDynamic':5,'RowDynamic':16,'Format':'numberic','Value':'','TargetCode':''}</v>
      </c>
    </row>
    <row r="541" ht="12.75">
      <c r="A541" t="str">
        <f>CONCATENATE("{'SheetId':'a816653e-e9a7-4123-80af-e60674952def'",",","'UId':'f604a99e-209f-4f17-8f1a-9b03625b76d5'",",'Col':",COLUMN(TKGD_BDS_06200!F17),",'Row':",ROW(TKGD_BDS_06200!F17),",","'ColDynamic':",COLUMN(TKGD_BDS_06200!F19),",","'RowDynamic':",ROW(TKGD_BDS_06200!F19),",","'Format':'string'",",'Value':'",SUBSTITUTE(TKGD_BDS_06200!F17,"'","\'"),"','TargetCode':''}")</f>
        <v>{'SheetId':'a816653e-e9a7-4123-80af-e60674952def','UId':'f604a99e-209f-4f17-8f1a-9b03625b76d5','Col':6,'Row':17,'ColDynamic':6,'RowDynamic':19,'Format':'string','Value':'','TargetCode':''}</v>
      </c>
    </row>
    <row r="542" ht="12.75">
      <c r="A542" t="str">
        <f>CONCATENATE("{'SheetId':'a816653e-e9a7-4123-80af-e60674952def'",",","'UId':'61f71e44-0969-4bbc-babe-51fcf4ce95ae'",",'Col':",COLUMN(TKGD_BDS_06200!G17),",'Row':",ROW(TKGD_BDS_06200!G17),",","'Format':'string'",",'Value':'",SUBSTITUTE(TKGD_BDS_06200!G17,"'","\'"),"','TargetCode':''}")</f>
        <v>{'SheetId':'a816653e-e9a7-4123-80af-e60674952def','UId':'61f71e44-0969-4bbc-babe-51fcf4ce95ae','Col':7,'Row':17,'Format':'string','Value':'','TargetCode':''}</v>
      </c>
    </row>
    <row r="543" ht="12.75">
      <c r="A543" t="str">
        <f>CONCATENATE("{'SheetId':'a816653e-e9a7-4123-80af-e60674952def'",",","'UId':'905ffa5b-8f45-451b-9745-640750607c14'",",'Col':",COLUMN(TKGD_BDS_06200!D18),",'Row':",ROW(TKGD_BDS_06200!D18),",","'Format':'string'",",'Value':'",SUBSTITUTE(TKGD_BDS_06200!D18,"'","\'"),"','TargetCode':''}")</f>
        <v>{'SheetId':'a816653e-e9a7-4123-80af-e60674952def','UId':'905ffa5b-8f45-451b-9745-640750607c14','Col':4,'Row':18,'Format':'string','Value':' ','TargetCode':''}</v>
      </c>
    </row>
    <row r="544" ht="12.75">
      <c r="A544" t="str">
        <f>CONCATENATE("{'SheetId':'a816653e-e9a7-4123-80af-e60674952def'",",","'UId':'17cbd8fc-c542-4e09-8767-03805add3690'",",'Col':",COLUMN(TKGD_BDS_06200!E18),",'Row':",ROW(TKGD_BDS_06200!E18),",","'Format':'numberic'",",'Value':'",SUBSTITUTE(TKGD_BDS_06200!E18,"'","\'"),"','TargetCode':''}")</f>
        <v>{'SheetId':'a816653e-e9a7-4123-80af-e60674952def','UId':'17cbd8fc-c542-4e09-8767-03805add3690','Col':5,'Row':18,'Format':'numberic','Value':' ','TargetCode':''}</v>
      </c>
    </row>
    <row r="545" ht="12.75">
      <c r="A545" t="str">
        <f>CONCATENATE("{'SheetId':'a816653e-e9a7-4123-80af-e60674952def'",",","'UId':'0d474056-facc-4799-893f-5a60f539c24a'",",'Col':",COLUMN(TKGD_BDS_06200!F18),",'Row':",ROW(TKGD_BDS_06200!F18),",","'Format':'string'",",'Value':'",SUBSTITUTE(TKGD_BDS_06200!F18,"'","\'"),"','TargetCode':''}")</f>
        <v>{'SheetId':'a816653e-e9a7-4123-80af-e60674952def','UId':'0d474056-facc-4799-893f-5a60f539c24a','Col':6,'Row':18,'Format':'string','Value':' ','TargetCode':''}</v>
      </c>
    </row>
    <row r="546" ht="12.75">
      <c r="A546" t="str">
        <f>CONCATENATE("{'SheetId':'a816653e-e9a7-4123-80af-e60674952def'",",","'UId':'6a6a471d-22b0-4b9f-91d3-ae44672d72c7'",",'Col':",COLUMN(TKGD_BDS_06200!G18),",'Row':",ROW(TKGD_BDS_06200!G18),",","'Format':'string'",",'Value':'",SUBSTITUTE(TKGD_BDS_06200!G18,"'","\'"),"','TargetCode':''}")</f>
        <v>{'SheetId':'a816653e-e9a7-4123-80af-e60674952def','UId':'6a6a471d-22b0-4b9f-91d3-ae44672d72c7','Col':7,'Row':18,'Format':'string','Value':' ','TargetCode':''}</v>
      </c>
    </row>
    <row r="547" ht="12.75">
      <c r="A547" t="str">
        <f>CONCATENATE("{'SheetId':'a816653e-e9a7-4123-80af-e60674952def'",",","'UId':'f1098a95-6e23-431b-bfbf-3fb492d2269a'",",'Col':",COLUMN(TKGD_BDS_06200!G19),",'Row':",ROW(TKGD_BDS_06200!G19),",","'Format':'string'",",'Value':'",SUBSTITUTE(TKGD_BDS_06200!G19,"'","\'"),"','TargetCode':''}")</f>
        <v>{'SheetId':'a816653e-e9a7-4123-80af-e60674952def','UId':'f1098a95-6e23-431b-bfbf-3fb492d2269a','Col':7,'Row':19,'Format':'string','Value':'...','TargetCode':''}</v>
      </c>
    </row>
    <row r="548" ht="12.75">
      <c r="A548" t="str">
        <f>CONCATENATE("{'SheetId':'a816653e-e9a7-4123-80af-e60674952def'",",","'UId':'4f69d59b-ea13-4952-9c81-0f3549c3bb47'",",'Col':",COLUMN(TKGD_BDS_06200!A20),",'Row':",ROW(TKGD_BDS_06200!A20),",","'ColDynamic':",COLUMN(TKGD_BDS_06200!A22),",","'RowDynamic':",ROW(TKGD_BDS_06200!A22),",","'Format':'numberic'",",'Value':'",SUBSTITUTE(TKGD_BDS_06200!A20,"'","\'"),"','TargetCode':''}")</f>
        <v>{'SheetId':'a816653e-e9a7-4123-80af-e60674952def','UId':'4f69d59b-ea13-4952-9c81-0f3549c3bb47','Col':1,'Row':20,'ColDynamic':1,'RowDynamic':22,'Format':'numberic','Value':'','TargetCode':''}</v>
      </c>
    </row>
    <row r="549" ht="12.75">
      <c r="A549" t="str">
        <f>CONCATENATE("{'SheetId':'a816653e-e9a7-4123-80af-e60674952def'",",","'UId':'dbf8c48f-cfae-4fc7-bfcc-7174033c838c'",",'Col':",COLUMN(TKGD_BDS_06200!B20),",'Row':",ROW(TKGD_BDS_06200!B20),",","'ColDynamic':",COLUMN(TKGD_BDS_06200!B22),",","'RowDynamic':",ROW(TKGD_BDS_06200!B22),",","'Format':'string'",",'Value':'",SUBSTITUTE(TKGD_BDS_06200!B20,"'","\'"),"','TargetCode':''}")</f>
        <v>{'SheetId':'a816653e-e9a7-4123-80af-e60674952def','UId':'dbf8c48f-cfae-4fc7-bfcc-7174033c838c','Col':2,'Row':20,'ColDynamic':2,'RowDynamic':22,'Format':'string','Value':'...','TargetCode':''}</v>
      </c>
    </row>
    <row r="550" ht="12.75">
      <c r="A550" t="str">
        <f>CONCATENATE("{'SheetId':'a816653e-e9a7-4123-80af-e60674952def'",",","'UId':'8fa79a96-7093-41d6-90ca-9edb08bd2ffc'",",'Col':",COLUMN(TKGD_BDS_06200!C20),",'Row':",ROW(TKGD_BDS_06200!C20),",","'ColDynamic':",COLUMN(TKGD_BDS_06200!C22),",","'RowDynamic':",ROW(TKGD_BDS_06200!C22),",","'Format':'numberic'",",'Value':'",SUBSTITUTE(TKGD_BDS_06200!C20,"'","\'"),"','TargetCode':''}")</f>
        <v>{'SheetId':'a816653e-e9a7-4123-80af-e60674952def','UId':'8fa79a96-7093-41d6-90ca-9edb08bd2ffc','Col':3,'Row':20,'ColDynamic':3,'RowDynamic':22,'Format':'numberic','Value':'','TargetCode':''}</v>
      </c>
    </row>
    <row r="551" ht="12.75">
      <c r="A551" t="str">
        <f>CONCATENATE("{'SheetId':'a816653e-e9a7-4123-80af-e60674952def'",",","'UId':'cff32912-f65c-42e8-8b48-0671da26b8cc'",",'Col':",COLUMN(TKGD_BDS_06200!D20),",'Row':",ROW(TKGD_BDS_06200!D20),",","'ColDynamic':",COLUMN(TKGD_BDS_06200!D22),",","'RowDynamic':",ROW(TKGD_BDS_06200!D22),",","'Format':'numberic'",",'Value':'",SUBSTITUTE(TKGD_BDS_06200!D20,"'","\'"),"','TargetCode':''}")</f>
        <v>{'SheetId':'a816653e-e9a7-4123-80af-e60674952def','UId':'cff32912-f65c-42e8-8b48-0671da26b8cc','Col':4,'Row':20,'ColDynamic':4,'RowDynamic':22,'Format':'numberic','Value':'','TargetCode':''}</v>
      </c>
    </row>
    <row r="552" ht="12.75">
      <c r="A552" t="str">
        <f>CONCATENATE("{'SheetId':'a816653e-e9a7-4123-80af-e60674952def'",",","'UId':'8e678dd0-49c3-4f95-8b3a-ced98ef3c2d2'",",'Col':",COLUMN(TKGD_BDS_06200!E20),",'Row':",ROW(TKGD_BDS_06200!E20),",","'ColDynamic':",COLUMN(TKGD_BDS_06200!E19),",","'RowDynamic':",ROW(TKGD_BDS_06200!E19),",","'Format':'numberic'",",'Value':'",SUBSTITUTE(TKGD_BDS_06200!E20,"'","\'"),"','TargetCode':''}")</f>
        <v>{'SheetId':'a816653e-e9a7-4123-80af-e60674952def','UId':'8e678dd0-49c3-4f95-8b3a-ced98ef3c2d2','Col':5,'Row':20,'ColDynamic':5,'RowDynamic':19,'Format':'numberic','Value':'','TargetCode':''}</v>
      </c>
    </row>
    <row r="553" ht="12.75">
      <c r="A553" t="str">
        <f>CONCATENATE("{'SheetId':'a816653e-e9a7-4123-80af-e60674952def'",",","'UId':'271b32c1-2e23-4ff2-9146-cd6c49245c51'",",'Col':",COLUMN(TKGD_BDS_06200!F20),",'Row':",ROW(TKGD_BDS_06200!F20),",","'ColDynamic':",COLUMN(TKGD_BDS_06200!F22),",","'RowDynamic':",ROW(TKGD_BDS_06200!F22),",","'Format':'string'",",'Value':'",SUBSTITUTE(TKGD_BDS_06200!F20,"'","\'"),"','TargetCode':''}")</f>
        <v>{'SheetId':'a816653e-e9a7-4123-80af-e60674952def','UId':'271b32c1-2e23-4ff2-9146-cd6c49245c51','Col':6,'Row':20,'ColDynamic':6,'RowDynamic':22,'Format':'string','Value':'','TargetCode':''}</v>
      </c>
    </row>
    <row r="554" ht="12.75">
      <c r="A554" t="str">
        <f>CONCATENATE("{'SheetId':'a816653e-e9a7-4123-80af-e60674952def'",",","'UId':'0f8a42d4-7855-41f5-8001-73c81c248db7'",",'Col':",COLUMN(TKGD_BDS_06200!G20),",'Row':",ROW(TKGD_BDS_06200!G20),",","'Format':'string'",",'Value':'",SUBSTITUTE(TKGD_BDS_06200!G20,"'","\'"),"','TargetCode':''}")</f>
        <v>{'SheetId':'a816653e-e9a7-4123-80af-e60674952def','UId':'0f8a42d4-7855-41f5-8001-73c81c248db7','Col':7,'Row':20,'Format':'string','Value':'','TargetCode':''}</v>
      </c>
    </row>
    <row r="555" ht="12.75">
      <c r="A555" t="str">
        <f>CONCATENATE("{'SheetId':'9ae760d6-3605-48cb-9f96-5eabc7683a24'",",","'UId':'d77a67cd-9649-4b00-8361-acf930b77e37'",",'Col':",COLUMN(HanMucTuDoanh_DTGTNN!D3),",'Row':",ROW(HanMucTuDoanh_DTGTNN!D3),",","'Format':'numberic'",",'Value':'",SUBSTITUTE(HanMucTuDoanh_DTGTNN!D3,"'","\'"),"','TargetCode':''}")</f>
        <v>{'SheetId':'9ae760d6-3605-48cb-9f96-5eabc7683a24','UId':'d77a67cd-9649-4b00-8361-acf930b77e37','Col':4,'Row':3,'Format':'numberic','Value':'','TargetCode':''}</v>
      </c>
    </row>
    <row r="556" ht="12.75">
      <c r="A556" t="str">
        <f>CONCATENATE("{'SheetId':'9ae760d6-3605-48cb-9f96-5eabc7683a24'",",","'UId':'dfd7d982-72d3-45a1-9fee-3aba00c3d44f'",",'Col':",COLUMN(HanMucTuDoanh_DTGTNN!E3),",'Row':",ROW(HanMucTuDoanh_DTGTNN!E3),",","'Format':'numberic'",",'Value':'",SUBSTITUTE(HanMucTuDoanh_DTGTNN!E3,"'","\'"),"','TargetCode':''}")</f>
        <v>{'SheetId':'9ae760d6-3605-48cb-9f96-5eabc7683a24','UId':'dfd7d982-72d3-45a1-9fee-3aba00c3d44f','Col':5,'Row':3,'Format':'numberic','Value':'','TargetCode':''}</v>
      </c>
    </row>
    <row r="557" ht="12.75">
      <c r="A557" t="str">
        <f>CONCATENATE("{'SheetId':'9ae760d6-3605-48cb-9f96-5eabc7683a24'",",","'UId':'3b04057d-9141-4553-8b8f-af4ace877ccd'",",'Col':",COLUMN(HanMucTuDoanh_DTGTNN!A5),",'Row':",ROW(HanMucTuDoanh_DTGTNN!A5),",","'ColDynamic':",COLUMN(HanMucTuDoanh_DTGTNN!A4),",","'RowDynamic':",ROW(HanMucTuDoanh_DTGTNN!A4),",","'Format':'string'",",'Value':'",SUBSTITUTE(HanMucTuDoanh_DTGTNN!A5,"'","\'"),"','TargetCode':''}")</f>
        <v>{'SheetId':'9ae760d6-3605-48cb-9f96-5eabc7683a24','UId':'3b04057d-9141-4553-8b8f-af4ace877ccd','Col':1,'Row':5,'ColDynamic':1,'RowDynamic':4,'Format':'string','Value':'','TargetCode':''}</v>
      </c>
    </row>
    <row r="558" ht="12.75">
      <c r="A558" t="str">
        <f>CONCATENATE("{'SheetId':'9ae760d6-3605-48cb-9f96-5eabc7683a24'",",","'UId':'9f90331e-6f74-4bb5-b618-fe6678ae8f30'",",'Col':",COLUMN(HanMucTuDoanh_DTGTNN!B5),",'Row':",ROW(HanMucTuDoanh_DTGTNN!B5),",","'ColDynamic':",COLUMN(HanMucTuDoanh_DTGTNN!B4),",","'RowDynamic':",ROW(HanMucTuDoanh_DTGTNN!B4),",","'Format':'string'",",'Value':'",SUBSTITUTE(HanMucTuDoanh_DTGTNN!B5,"'","\'"),"','TargetCode':''}")</f>
        <v>{'SheetId':'9ae760d6-3605-48cb-9f96-5eabc7683a24','UId':'9f90331e-6f74-4bb5-b618-fe6678ae8f30','Col':2,'Row':5,'ColDynamic':2,'RowDynamic':4,'Format':'string','Value':'...','TargetCode':''}</v>
      </c>
    </row>
    <row r="559" ht="12.75">
      <c r="A559" t="str">
        <f>CONCATENATE("{'SheetId':'9ae760d6-3605-48cb-9f96-5eabc7683a24'",",","'UId':'93e543dd-0a01-4b57-a927-4d64d64cf1ea'",",'Col':",COLUMN(HanMucTuDoanh_DTGTNN!C5),",'Row':",ROW(HanMucTuDoanh_DTGTNN!C5),",","'ColDynamic':",COLUMN(HanMucTuDoanh_DTGTNN!C4),",","'RowDynamic':",ROW(HanMucTuDoanh_DTGTNN!C4),",","'Format':'string'",",'Value':'",SUBSTITUTE(HanMucTuDoanh_DTGTNN!C5,"'","\'"),"','TargetCode':''}")</f>
        <v>{'SheetId':'9ae760d6-3605-48cb-9f96-5eabc7683a24','UId':'93e543dd-0a01-4b57-a927-4d64d64cf1ea','Col':3,'Row':5,'ColDynamic':3,'RowDynamic':4,'Format':'string','Value':'','TargetCode':''}</v>
      </c>
    </row>
    <row r="560" ht="12.75">
      <c r="A560" t="str">
        <f>CONCATENATE("{'SheetId':'9ae760d6-3605-48cb-9f96-5eabc7683a24'",",","'UId':'4a89ee4c-0690-4d6d-9614-9761ba28dc25'",",'Col':",COLUMN(HanMucTuDoanh_DTGTNN!D5),",'Row':",ROW(HanMucTuDoanh_DTGTNN!D5),",","'ColDynamic':",COLUMN(HanMucTuDoanh_DTGTNN!C4),",","'RowDynamic':",ROW(HanMucTuDoanh_DTGTNN!C4),",","'Format':'numberic'",",'Value':'",SUBSTITUTE(HanMucTuDoanh_DTGTNN!D5,"'","\'"),"','TargetCode':''}")</f>
        <v>{'SheetId':'9ae760d6-3605-48cb-9f96-5eabc7683a24','UId':'4a89ee4c-0690-4d6d-9614-9761ba28dc25','Col':4,'Row':5,'ColDynamic':3,'RowDynamic':4,'Format':'numberic','Value':'','TargetCode':''}</v>
      </c>
    </row>
    <row r="561" ht="12.75">
      <c r="A561" t="str">
        <f>CONCATENATE("{'SheetId':'9ae760d6-3605-48cb-9f96-5eabc7683a24'",",","'UId':'39e5940f-6063-4cca-9912-c15099f7439a'",",'Col':",COLUMN(HanMucTuDoanh_DTGTNN!E5),",'Row':",ROW(HanMucTuDoanh_DTGTNN!E5),",","'ColDynamic':",COLUMN(HanMucTuDoanh_DTGTNN!D4),",","'RowDynamic':",ROW(HanMucTuDoanh_DTGTNN!D4),",","'Format':'numberic'",",'Value':'",SUBSTITUTE(HanMucTuDoanh_DTGTNN!E5,"'","\'"),"','TargetCode':''}")</f>
        <v>{'SheetId':'9ae760d6-3605-48cb-9f96-5eabc7683a24','UId':'39e5940f-6063-4cca-9912-c15099f7439a','Col':5,'Row':5,'ColDynamic':4,'RowDynamic':4,'Format':'numberic','Value':'','TargetCode':''}</v>
      </c>
    </row>
    <row r="562" ht="12.75">
      <c r="A562" t="str">
        <f>CONCATENATE("{'SheetId':'9ae760d6-3605-48cb-9f96-5eabc7683a24'",",","'UId':'e303a28e-2986-47b1-90f2-53d071086d82'",",'Col':",COLUMN(HanMucTuDoanh_DTGTNN!D6),",'Row':",ROW(HanMucTuDoanh_DTGTNN!D6),",","'Format':'numberic'",",'Value':'",SUBSTITUTE(HanMucTuDoanh_DTGTNN!D6,"'","\'"),"','TargetCode':''}")</f>
        <v>{'SheetId':'9ae760d6-3605-48cb-9f96-5eabc7683a24','UId':'e303a28e-2986-47b1-90f2-53d071086d82','Col':4,'Row':6,'Format':'numberic','Value':'','TargetCode':''}</v>
      </c>
    </row>
    <row r="563" ht="12.75">
      <c r="A563" t="str">
        <f>CONCATENATE("{'SheetId':'9ae760d6-3605-48cb-9f96-5eabc7683a24'",",","'UId':'27fb8dd4-e58c-47c3-8fcd-9a11c8cdd1a5'",",'Col':",COLUMN(HanMucTuDoanh_DTGTNN!E6),",'Row':",ROW(HanMucTuDoanh_DTGTNN!E6),",","'Format':'numberic'",",'Value':'",SUBSTITUTE(HanMucTuDoanh_DTGTNN!E6,"'","\'"),"','TargetCode':''}")</f>
        <v>{'SheetId':'9ae760d6-3605-48cb-9f96-5eabc7683a24','UId':'27fb8dd4-e58c-47c3-8fcd-9a11c8cdd1a5','Col':5,'Row':6,'Format':'numberic','Value':'','TargetCode':''}</v>
      </c>
    </row>
    <row r="564" ht="12.75">
      <c r="A564" t="str">
        <f>CONCATENATE("{'SheetId':'9ae760d6-3605-48cb-9f96-5eabc7683a24'",",","'UId':'8da114b7-efd6-41c8-a539-9a711957d17c'",",'Col':",COLUMN(HanMucTuDoanh_DTGTNN!A8),",'Row':",ROW(HanMucTuDoanh_DTGTNN!A8),",","'ColDynamic':",COLUMN(HanMucTuDoanh_DTGTNN!A7),",","'RowDynamic':",ROW(HanMucTuDoanh_DTGTNN!A7),",","'Format':'string'",",'Value':'",SUBSTITUTE(HanMucTuDoanh_DTGTNN!A8,"'","\'"),"','TargetCode':''}")</f>
        <v>{'SheetId':'9ae760d6-3605-48cb-9f96-5eabc7683a24','UId':'8da114b7-efd6-41c8-a539-9a711957d17c','Col':1,'Row':8,'ColDynamic':1,'RowDynamic':7,'Format':'string','Value':'','TargetCode':''}</v>
      </c>
    </row>
    <row r="565" ht="12.75">
      <c r="A565" t="str">
        <f>CONCATENATE("{'SheetId':'9ae760d6-3605-48cb-9f96-5eabc7683a24'",",","'UId':'210001b0-ea9f-467b-9520-7118623c035d'",",'Col':",COLUMN(HanMucTuDoanh_DTGTNN!B8),",'Row':",ROW(HanMucTuDoanh_DTGTNN!B8),",","'ColDynamic':",COLUMN(HanMucTuDoanh_DTGTNN!B7),",","'RowDynamic':",ROW(HanMucTuDoanh_DTGTNN!B7),",","'Format':'string'",",'Value':'",SUBSTITUTE(HanMucTuDoanh_DTGTNN!B8,"'","\'"),"','TargetCode':''}")</f>
        <v>{'SheetId':'9ae760d6-3605-48cb-9f96-5eabc7683a24','UId':'210001b0-ea9f-467b-9520-7118623c035d','Col':2,'Row':8,'ColDynamic':2,'RowDynamic':7,'Format':'string','Value':'...','TargetCode':''}</v>
      </c>
    </row>
    <row r="566" ht="12.75">
      <c r="A566" t="str">
        <f>CONCATENATE("{'SheetId':'9ae760d6-3605-48cb-9f96-5eabc7683a24'",",","'UId':'e048a2a6-8d11-4a49-bada-5ac9ed2a9984'",",'Col':",COLUMN(HanMucTuDoanh_DTGTNN!C8),",'Row':",ROW(HanMucTuDoanh_DTGTNN!C8),",","'ColDynamic':",COLUMN(HanMucTuDoanh_DTGTNN!C7),",","'RowDynamic':",ROW(HanMucTuDoanh_DTGTNN!C7),",","'Format':'string'",",'Value':'",SUBSTITUTE(HanMucTuDoanh_DTGTNN!C8,"'","\'"),"','TargetCode':''}")</f>
        <v>{'SheetId':'9ae760d6-3605-48cb-9f96-5eabc7683a24','UId':'e048a2a6-8d11-4a49-bada-5ac9ed2a9984','Col':3,'Row':8,'ColDynamic':3,'RowDynamic':7,'Format':'string','Value':'','TargetCode':''}</v>
      </c>
    </row>
    <row r="567" ht="12.75">
      <c r="A567" t="str">
        <f>CONCATENATE("{'SheetId':'9ae760d6-3605-48cb-9f96-5eabc7683a24'",",","'UId':'9ca7dd99-d03e-4cdc-b460-351cee54741b'",",'Col':",COLUMN(HanMucTuDoanh_DTGTNN!D8),",'Row':",ROW(HanMucTuDoanh_DTGTNN!D8),",","'ColDynamic':",COLUMN(HanMucTuDoanh_DTGTNN!C7),",","'RowDynamic':",ROW(HanMucTuDoanh_DTGTNN!C7),",","'Format':'numberic'",",'Value':'",SUBSTITUTE(HanMucTuDoanh_DTGTNN!D8,"'","\'"),"','TargetCode':''}")</f>
        <v>{'SheetId':'9ae760d6-3605-48cb-9f96-5eabc7683a24','UId':'9ca7dd99-d03e-4cdc-b460-351cee54741b','Col':4,'Row':8,'ColDynamic':3,'RowDynamic':7,'Format':'numberic','Value':'','TargetCode':''}</v>
      </c>
    </row>
    <row r="568" ht="12.75">
      <c r="A568" t="str">
        <f>CONCATENATE("{'SheetId':'9ae760d6-3605-48cb-9f96-5eabc7683a24'",",","'UId':'ccd9f944-83cb-48ee-b8ab-e6cac5dbe25b'",",'Col':",COLUMN(HanMucTuDoanh_DTGTNN!E8),",'Row':",ROW(HanMucTuDoanh_DTGTNN!E8),",","'ColDynamic':",COLUMN(HanMucTuDoanh_DTGTNN!D7),",","'RowDynamic':",ROW(HanMucTuDoanh_DTGTNN!D7),",","'Format':'numberic'",",'Value':'",SUBSTITUTE(HanMucTuDoanh_DTGTNN!E8,"'","\'"),"','TargetCode':''}")</f>
        <v>{'SheetId':'9ae760d6-3605-48cb-9f96-5eabc7683a24','UId':'ccd9f944-83cb-48ee-b8ab-e6cac5dbe25b','Col':5,'Row':8,'ColDynamic':4,'RowDynamic':7,'Format':'numberic','Value':'','TargetCode':''}</v>
      </c>
    </row>
    <row r="569" ht="12.75">
      <c r="A569" t="str">
        <f>CONCATENATE("{'SheetId':'9ae760d6-3605-48cb-9f96-5eabc7683a24'",",","'UId':'f7d983d7-de97-4f7e-87c3-37a25ac0afac'",",'Col':",COLUMN(HanMucTuDoanh_DTGTNN!D9),",'Row':",ROW(HanMucTuDoanh_DTGTNN!D9),",","'Format':'numberic'",",'Value':'",SUBSTITUTE(HanMucTuDoanh_DTGTNN!D9,"'","\'"),"','TargetCode':''}")</f>
        <v>{'SheetId':'9ae760d6-3605-48cb-9f96-5eabc7683a24','UId':'f7d983d7-de97-4f7e-87c3-37a25ac0afac','Col':4,'Row':9,'Format':'numberic','Value':'','TargetCode':''}</v>
      </c>
    </row>
    <row r="570" ht="12.75">
      <c r="A570" t="str">
        <f>CONCATENATE("{'SheetId':'9ae760d6-3605-48cb-9f96-5eabc7683a24'",",","'UId':'2adfd23d-f8ee-42d1-8029-e098cfc6a9f2'",",'Col':",COLUMN(HanMucTuDoanh_DTGTNN!E9),",'Row':",ROW(HanMucTuDoanh_DTGTNN!E9),",","'Format':'numberic'",",'Value':'",SUBSTITUTE(HanMucTuDoanh_DTGTNN!E9,"'","\'"),"','TargetCode':''}")</f>
        <v>{'SheetId':'9ae760d6-3605-48cb-9f96-5eabc7683a24','UId':'2adfd23d-f8ee-42d1-8029-e098cfc6a9f2','Col':5,'Row':9,'Format':'numberic','Value':'','TargetCode':''}</v>
      </c>
    </row>
    <row r="571" ht="12.75">
      <c r="A571" t="str">
        <f>CONCATENATE("{'SheetId':'9ae760d6-3605-48cb-9f96-5eabc7683a24'",",","'UId':'78b76c81-4920-48ce-9b70-dc82bd1710f2'",",'Col':",COLUMN(HanMucTuDoanh_DTGTNN!A11),",'Row':",ROW(HanMucTuDoanh_DTGTNN!A11),",","'ColDynamic':",COLUMN(HanMucTuDoanh_DTGTNN!A10),",","'RowDynamic':",ROW(HanMucTuDoanh_DTGTNN!A10),",","'Format':'string'",",'Value':'",SUBSTITUTE(HanMucTuDoanh_DTGTNN!A11,"'","\'"),"','TargetCode':''}")</f>
        <v>{'SheetId':'9ae760d6-3605-48cb-9f96-5eabc7683a24','UId':'78b76c81-4920-48ce-9b70-dc82bd1710f2','Col':1,'Row':11,'ColDynamic':1,'RowDynamic':10,'Format':'string','Value':'','TargetCode':''}</v>
      </c>
    </row>
    <row r="572" ht="12.75">
      <c r="A572" t="str">
        <f>CONCATENATE("{'SheetId':'9ae760d6-3605-48cb-9f96-5eabc7683a24'",",","'UId':'d7d0b687-0502-48a6-a1b8-ec2ee5f8e09f'",",'Col':",COLUMN(HanMucTuDoanh_DTGTNN!B11),",'Row':",ROW(HanMucTuDoanh_DTGTNN!B11),",","'ColDynamic':",COLUMN(HanMucTuDoanh_DTGTNN!B10),",","'RowDynamic':",ROW(HanMucTuDoanh_DTGTNN!B10),",","'Format':'string'",",'Value':'",SUBSTITUTE(HanMucTuDoanh_DTGTNN!B11,"'","\'"),"','TargetCode':''}")</f>
        <v>{'SheetId':'9ae760d6-3605-48cb-9f96-5eabc7683a24','UId':'d7d0b687-0502-48a6-a1b8-ec2ee5f8e09f','Col':2,'Row':11,'ColDynamic':2,'RowDynamic':10,'Format':'string','Value':'...','TargetCode':''}</v>
      </c>
    </row>
    <row r="573" ht="12.75">
      <c r="A573" t="str">
        <f>CONCATENATE("{'SheetId':'9ae760d6-3605-48cb-9f96-5eabc7683a24'",",","'UId':'2b9499db-dcb5-4cf6-96b6-c67f5827c619'",",'Col':",COLUMN(HanMucTuDoanh_DTGTNN!C11),",'Row':",ROW(HanMucTuDoanh_DTGTNN!C11),",","'ColDynamic':",COLUMN(HanMucTuDoanh_DTGTNN!C10),",","'RowDynamic':",ROW(HanMucTuDoanh_DTGTNN!C10),",","'Format':'string'",",'Value':'",SUBSTITUTE(HanMucTuDoanh_DTGTNN!C11,"'","\'"),"','TargetCode':''}")</f>
        <v>{'SheetId':'9ae760d6-3605-48cb-9f96-5eabc7683a24','UId':'2b9499db-dcb5-4cf6-96b6-c67f5827c619','Col':3,'Row':11,'ColDynamic':3,'RowDynamic':10,'Format':'string','Value':'','TargetCode':''}</v>
      </c>
    </row>
    <row r="574" ht="12.75">
      <c r="A574" t="str">
        <f>CONCATENATE("{'SheetId':'9ae760d6-3605-48cb-9f96-5eabc7683a24'",",","'UId':'d8539dfd-0f84-4f07-bf74-2beee3169be8'",",'Col':",COLUMN(HanMucTuDoanh_DTGTNN!D11),",'Row':",ROW(HanMucTuDoanh_DTGTNN!D11),",","'ColDynamic':",COLUMN(HanMucTuDoanh_DTGTNN!C10),",","'RowDynamic':",ROW(HanMucTuDoanh_DTGTNN!C10),",","'Format':'numberic'",",'Value':'",SUBSTITUTE(HanMucTuDoanh_DTGTNN!D11,"'","\'"),"','TargetCode':''}")</f>
        <v>{'SheetId':'9ae760d6-3605-48cb-9f96-5eabc7683a24','UId':'d8539dfd-0f84-4f07-bf74-2beee3169be8','Col':4,'Row':11,'ColDynamic':3,'RowDynamic':10,'Format':'numberic','Value':'','TargetCode':''}</v>
      </c>
    </row>
    <row r="575" ht="12.75">
      <c r="A575" t="str">
        <f>CONCATENATE("{'SheetId':'9ae760d6-3605-48cb-9f96-5eabc7683a24'",",","'UId':'7b222cd5-eeac-440b-9eb1-89f7fb85391d'",",'Col':",COLUMN(HanMucTuDoanh_DTGTNN!E11),",'Row':",ROW(HanMucTuDoanh_DTGTNN!E11),",","'ColDynamic':",COLUMN(HanMucTuDoanh_DTGTNN!D10),",","'RowDynamic':",ROW(HanMucTuDoanh_DTGTNN!D10),",","'Format':'numberic'",",'Value':'",SUBSTITUTE(HanMucTuDoanh_DTGTNN!E11,"'","\'"),"','TargetCode':''}")</f>
        <v>{'SheetId':'9ae760d6-3605-48cb-9f96-5eabc7683a24','UId':'7b222cd5-eeac-440b-9eb1-89f7fb85391d','Col':5,'Row':11,'ColDynamic':4,'RowDynamic':10,'Format':'numberic','Value':'','TargetCode':''}</v>
      </c>
    </row>
    <row r="576" ht="12.75">
      <c r="A576" t="str">
        <f>CONCATENATE("{'SheetId':'9ae760d6-3605-48cb-9f96-5eabc7683a24'",",","'UId':'d7a2aefa-0e24-4e2d-b2e5-1f46fe858c5c'",",'Col':",COLUMN(HanMucTuDoanh_DTGTNN!D12),",'Row':",ROW(HanMucTuDoanh_DTGTNN!D12),",","'Format':'numberic'",",'Value':'",SUBSTITUTE(HanMucTuDoanh_DTGTNN!D12,"'","\'"),"','TargetCode':''}")</f>
        <v>{'SheetId':'9ae760d6-3605-48cb-9f96-5eabc7683a24','UId':'d7a2aefa-0e24-4e2d-b2e5-1f46fe858c5c','Col':4,'Row':12,'Format':'numberic','Value':'','TargetCode':''}</v>
      </c>
    </row>
    <row r="577" ht="12.75">
      <c r="A577" t="str">
        <f>CONCATENATE("{'SheetId':'9ae760d6-3605-48cb-9f96-5eabc7683a24'",",","'UId':'83402a4e-22e3-41e2-9622-f3acdcfc502e'",",'Col':",COLUMN(HanMucTuDoanh_DTGTNN!E12),",'Row':",ROW(HanMucTuDoanh_DTGTNN!E12),",","'Format':'numberic'",",'Value':'",SUBSTITUTE(HanMucTuDoanh_DTGTNN!E12,"'","\'"),"','TargetCode':''}")</f>
        <v>{'SheetId':'9ae760d6-3605-48cb-9f96-5eabc7683a24','UId':'83402a4e-22e3-41e2-9622-f3acdcfc502e','Col':5,'Row':12,'Format':'numberic','Value':'','TargetCode':''}</v>
      </c>
    </row>
    <row r="578" ht="12.75">
      <c r="A578" t="str">
        <f>CONCATENATE("{'SheetId':'9ae760d6-3605-48cb-9f96-5eabc7683a24'",",","'UId':'1f2c324f-64a0-4ae1-a05e-a7191a260902'",",'Col':",COLUMN(HanMucTuDoanh_DTGTNN!A14),",'Row':",ROW(HanMucTuDoanh_DTGTNN!A14),",","'ColDynamic':",COLUMN(HanMucTuDoanh_DTGTNN!A13),",","'RowDynamic':",ROW(HanMucTuDoanh_DTGTNN!A13),",","'Format':'string'",",'Value':'",SUBSTITUTE(HanMucTuDoanh_DTGTNN!A14,"'","\'"),"','TargetCode':''}")</f>
        <v>{'SheetId':'9ae760d6-3605-48cb-9f96-5eabc7683a24','UId':'1f2c324f-64a0-4ae1-a05e-a7191a260902','Col':1,'Row':14,'ColDynamic':1,'RowDynamic':13,'Format':'string','Value':'','TargetCode':''}</v>
      </c>
    </row>
    <row r="579" ht="12.75">
      <c r="A579" t="str">
        <f>CONCATENATE("{'SheetId':'9ae760d6-3605-48cb-9f96-5eabc7683a24'",",","'UId':'2bc5a9f8-4472-42a6-abab-bb6f35e6af39'",",'Col':",COLUMN(HanMucTuDoanh_DTGTNN!B14),",'Row':",ROW(HanMucTuDoanh_DTGTNN!B14),",","'ColDynamic':",COLUMN(HanMucTuDoanh_DTGTNN!B13),",","'RowDynamic':",ROW(HanMucTuDoanh_DTGTNN!B13),",","'Format':'string'",",'Value':'",SUBSTITUTE(HanMucTuDoanh_DTGTNN!B14,"'","\'"),"','TargetCode':''}")</f>
        <v>{'SheetId':'9ae760d6-3605-48cb-9f96-5eabc7683a24','UId':'2bc5a9f8-4472-42a6-abab-bb6f35e6af39','Col':2,'Row':14,'ColDynamic':2,'RowDynamic':13,'Format':'string','Value':'...','TargetCode':''}</v>
      </c>
    </row>
    <row r="580" ht="12.75">
      <c r="A580" t="str">
        <f>CONCATENATE("{'SheetId':'9ae760d6-3605-48cb-9f96-5eabc7683a24'",",","'UId':'e55ea559-3a55-4f29-b0b1-57014b80cad1'",",'Col':",COLUMN(HanMucTuDoanh_DTGTNN!C14),",'Row':",ROW(HanMucTuDoanh_DTGTNN!C14),",","'ColDynamic':",COLUMN(HanMucTuDoanh_DTGTNN!C13),",","'RowDynamic':",ROW(HanMucTuDoanh_DTGTNN!C13),",","'Format':'string'",",'Value':'",SUBSTITUTE(HanMucTuDoanh_DTGTNN!C14,"'","\'"),"','TargetCode':''}")</f>
        <v>{'SheetId':'9ae760d6-3605-48cb-9f96-5eabc7683a24','UId':'e55ea559-3a55-4f29-b0b1-57014b80cad1','Col':3,'Row':14,'ColDynamic':3,'RowDynamic':13,'Format':'string','Value':'','TargetCode':''}</v>
      </c>
    </row>
    <row r="581" ht="12.75">
      <c r="A581" t="str">
        <f>CONCATENATE("{'SheetId':'9ae760d6-3605-48cb-9f96-5eabc7683a24'",",","'UId':'ef06f1a7-c647-4aee-8758-51e128f5cb89'",",'Col':",COLUMN(HanMucTuDoanh_DTGTNN!D14),",'Row':",ROW(HanMucTuDoanh_DTGTNN!D14),",","'ColDynamic':",COLUMN(HanMucTuDoanh_DTGTNN!C13),",","'RowDynamic':",ROW(HanMucTuDoanh_DTGTNN!C13),",","'Format':'numberic'",",'Value':'",SUBSTITUTE(HanMucTuDoanh_DTGTNN!D14,"'","\'"),"','TargetCode':''}")</f>
        <v>{'SheetId':'9ae760d6-3605-48cb-9f96-5eabc7683a24','UId':'ef06f1a7-c647-4aee-8758-51e128f5cb89','Col':4,'Row':14,'ColDynamic':3,'RowDynamic':13,'Format':'numberic','Value':'','TargetCode':''}</v>
      </c>
    </row>
    <row r="582" ht="12.75">
      <c r="A582" t="str">
        <f>CONCATENATE("{'SheetId':'9ae760d6-3605-48cb-9f96-5eabc7683a24'",",","'UId':'4126ad7c-3adf-4edc-be74-d5630a91b278'",",'Col':",COLUMN(HanMucTuDoanh_DTGTNN!E14),",'Row':",ROW(HanMucTuDoanh_DTGTNN!E14),",","'ColDynamic':",COLUMN(HanMucTuDoanh_DTGTNN!D13),",","'RowDynamic':",ROW(HanMucTuDoanh_DTGTNN!D13),",","'Format':'numberic'",",'Value':'",SUBSTITUTE(HanMucTuDoanh_DTGTNN!E14,"'","\'"),"','TargetCode':''}")</f>
        <v>{'SheetId':'9ae760d6-3605-48cb-9f96-5eabc7683a24','UId':'4126ad7c-3adf-4edc-be74-d5630a91b278','Col':5,'Row':14,'ColDynamic':4,'RowDynamic':13,'Format':'numberic','Value':'','TargetCode':''}</v>
      </c>
    </row>
    <row r="583" ht="12.75">
      <c r="A583" t="str">
        <f>CONCATENATE("{'SheetId':'5dac4df2-8afc-4331-9387-253e943f465e'",",","'UId':'29dae934-2018-4b72-a4d3-0588d9e35f6c'",",'Col':",COLUMN(BCTaiSan_DTGTNN!D3),",'Row':",ROW(BCTaiSan_DTGTNN!D3),",","'Format':'numberic'",",'Value':'",SUBSTITUTE(BCTaiSan_DTGTNN!D3,"'","\'"),"','TargetCode':''}")</f>
        <v>{'SheetId':'5dac4df2-8afc-4331-9387-253e943f465e','UId':'29dae934-2018-4b72-a4d3-0588d9e35f6c','Col':4,'Row':3,'Format':'numberic','Value':'','TargetCode':''}</v>
      </c>
    </row>
    <row r="584" ht="12.75">
      <c r="A584" t="str">
        <f>CONCATENATE("{'SheetId':'5dac4df2-8afc-4331-9387-253e943f465e'",",","'UId':'253d86b9-5b22-4d5c-88c5-d1a9617d618d'",",'Col':",COLUMN(BCTaiSan_DTGTNN!E3),",'Row':",ROW(BCTaiSan_DTGTNN!E3),",","'Format':'numberic'",",'Value':'",SUBSTITUTE(BCTaiSan_DTGTNN!E3,"'","\'"),"','TargetCode':''}")</f>
        <v>{'SheetId':'5dac4df2-8afc-4331-9387-253e943f465e','UId':'253d86b9-5b22-4d5c-88c5-d1a9617d618d','Col':5,'Row':3,'Format':'numberic','Value':'','TargetCode':''}</v>
      </c>
    </row>
    <row r="585" ht="12.75">
      <c r="A585" t="str">
        <f>CONCATENATE("{'SheetId':'5dac4df2-8afc-4331-9387-253e943f465e'",",","'UId':'cf352c27-277b-49e8-8be4-05d7b132e982'",",'Col':",COLUMN(BCTaiSan_DTGTNN!F3),",'Row':",ROW(BCTaiSan_DTGTNN!F3),",","'Format':'numberic'",",'Value':'",SUBSTITUTE(BCTaiSan_DTGTNN!F3,"'","\'"),"','TargetCode':''}")</f>
        <v>{'SheetId':'5dac4df2-8afc-4331-9387-253e943f465e','UId':'cf352c27-277b-49e8-8be4-05d7b132e982','Col':6,'Row':3,'Format':'numberic','Value':'','TargetCode':''}</v>
      </c>
    </row>
    <row r="586" ht="12.75">
      <c r="A586" t="str">
        <f>CONCATENATE("{'SheetId':'5dac4df2-8afc-4331-9387-253e943f465e'",",","'UId':'7e8af3b2-cf3d-481f-93a1-2fbe2263c0ec'",",'Col':",COLUMN(BCTaiSan_DTGTNN!G3),",'Row':",ROW(BCTaiSan_DTGTNN!G3),",","'Format':'numberic'",",'Value':'",SUBSTITUTE(BCTaiSan_DTGTNN!G3,"'","\'"),"','TargetCode':''}")</f>
        <v>{'SheetId':'5dac4df2-8afc-4331-9387-253e943f465e','UId':'7e8af3b2-cf3d-481f-93a1-2fbe2263c0ec','Col':7,'Row':3,'Format':'numberic','Value':'','TargetCode':''}</v>
      </c>
    </row>
    <row r="587" ht="12.75">
      <c r="A587" t="str">
        <f>CONCATENATE("{'SheetId':'5dac4df2-8afc-4331-9387-253e943f465e'",",","'UId':'1eed084d-bc58-48ee-b68c-84aa7458d58e'",",'Col':",COLUMN(BCTaiSan_DTGTNN!H3),",'Row':",ROW(BCTaiSan_DTGTNN!H3),",","'Format':'numberic'",",'Value':'",SUBSTITUTE(BCTaiSan_DTGTNN!H3,"'","\'"),"','TargetCode':''}")</f>
        <v>{'SheetId':'5dac4df2-8afc-4331-9387-253e943f465e','UId':'1eed084d-bc58-48ee-b68c-84aa7458d58e','Col':8,'Row':3,'Format':'numberic','Value':'','TargetCode':''}</v>
      </c>
    </row>
    <row r="588" ht="12.75">
      <c r="A588" t="str">
        <f>CONCATENATE("{'SheetId':'5dac4df2-8afc-4331-9387-253e943f465e'",",","'UId':'c1b3c1f8-7ecf-46b1-96c2-0a89a232d776'",",'Col':",COLUMN(BCTaiSan_DTGTNN!D4),",'Row':",ROW(BCTaiSan_DTGTNN!D4),",","'Format':'numberic'",",'Value':'",SUBSTITUTE(BCTaiSan_DTGTNN!D4,"'","\'"),"','TargetCode':''}")</f>
        <v>{'SheetId':'5dac4df2-8afc-4331-9387-253e943f465e','UId':'c1b3c1f8-7ecf-46b1-96c2-0a89a232d776','Col':4,'Row':4,'Format':'numberic','Value':'','TargetCode':''}</v>
      </c>
    </row>
    <row r="589" ht="12.75">
      <c r="A589" t="str">
        <f>CONCATENATE("{'SheetId':'5dac4df2-8afc-4331-9387-253e943f465e'",",","'UId':'5fda0068-4924-4bc2-be25-c41b67a1526b'",",'Col':",COLUMN(BCTaiSan_DTGTNN!E4),",'Row':",ROW(BCTaiSan_DTGTNN!E4),",","'Format':'numberic'",",'Value':'",SUBSTITUTE(BCTaiSan_DTGTNN!E4,"'","\'"),"','TargetCode':''}")</f>
        <v>{'SheetId':'5dac4df2-8afc-4331-9387-253e943f465e','UId':'5fda0068-4924-4bc2-be25-c41b67a1526b','Col':5,'Row':4,'Format':'numberic','Value':'','TargetCode':''}</v>
      </c>
    </row>
    <row r="590" ht="12.75">
      <c r="A590" t="str">
        <f>CONCATENATE("{'SheetId':'5dac4df2-8afc-4331-9387-253e943f465e'",",","'UId':'54a5804f-5a44-45ab-ba56-428c26635f2f'",",'Col':",COLUMN(BCTaiSan_DTGTNN!F4),",'Row':",ROW(BCTaiSan_DTGTNN!F4),",","'Format':'numberic'",",'Value':'",SUBSTITUTE(BCTaiSan_DTGTNN!F4,"'","\'"),"','TargetCode':''}")</f>
        <v>{'SheetId':'5dac4df2-8afc-4331-9387-253e943f465e','UId':'54a5804f-5a44-45ab-ba56-428c26635f2f','Col':6,'Row':4,'Format':'numberic','Value':'','TargetCode':''}</v>
      </c>
    </row>
    <row r="591" ht="12.75">
      <c r="A591" t="str">
        <f>CONCATENATE("{'SheetId':'5dac4df2-8afc-4331-9387-253e943f465e'",",","'UId':'542c4abc-1e19-4c24-b62f-538ea46500bc'",",'Col':",COLUMN(BCTaiSan_DTGTNN!G4),",'Row':",ROW(BCTaiSan_DTGTNN!G4),",","'Format':'numberic'",",'Value':'",SUBSTITUTE(BCTaiSan_DTGTNN!G4,"'","\'"),"','TargetCode':''}")</f>
        <v>{'SheetId':'5dac4df2-8afc-4331-9387-253e943f465e','UId':'542c4abc-1e19-4c24-b62f-538ea46500bc','Col':7,'Row':4,'Format':'numberic','Value':'','TargetCode':''}</v>
      </c>
    </row>
    <row r="592" ht="12.75">
      <c r="A592" t="str">
        <f>CONCATENATE("{'SheetId':'5dac4df2-8afc-4331-9387-253e943f465e'",",","'UId':'537ad7a1-663c-4d8f-b77b-b7d7768d3488'",",'Col':",COLUMN(BCTaiSan_DTGTNN!H4),",'Row':",ROW(BCTaiSan_DTGTNN!H4),",","'Format':'numberic'",",'Value':'",SUBSTITUTE(BCTaiSan_DTGTNN!H4,"'","\'"),"','TargetCode':''}")</f>
        <v>{'SheetId':'5dac4df2-8afc-4331-9387-253e943f465e','UId':'537ad7a1-663c-4d8f-b77b-b7d7768d3488','Col':8,'Row':4,'Format':'numberic','Value':'','TargetCode':''}</v>
      </c>
    </row>
    <row r="593" ht="12.75">
      <c r="A593" t="str">
        <f>CONCATENATE("{'SheetId':'5dac4df2-8afc-4331-9387-253e943f465e'",",","'UId':'5409ddb8-b40d-4f54-b85d-be3270fba4ab'",",'Col':",COLUMN(BCTaiSan_DTGTNN!D5),",'Row':",ROW(BCTaiSan_DTGTNN!D5),",","'Format':'numberic'",",'Value':'",SUBSTITUTE(BCTaiSan_DTGTNN!D5,"'","\'"),"','TargetCode':''}")</f>
        <v>{'SheetId':'5dac4df2-8afc-4331-9387-253e943f465e','UId':'5409ddb8-b40d-4f54-b85d-be3270fba4ab','Col':4,'Row':5,'Format':'numberic','Value':'','TargetCode':''}</v>
      </c>
    </row>
    <row r="594" ht="12.75">
      <c r="A594" t="str">
        <f>CONCATENATE("{'SheetId':'5dac4df2-8afc-4331-9387-253e943f465e'",",","'UId':'c5878db6-6874-4059-b34b-98d2f1f7c92b'",",'Col':",COLUMN(BCTaiSan_DTGTNN!E5),",'Row':",ROW(BCTaiSan_DTGTNN!E5),",","'Format':'numberic'",",'Value':'",SUBSTITUTE(BCTaiSan_DTGTNN!E5,"'","\'"),"','TargetCode':''}")</f>
        <v>{'SheetId':'5dac4df2-8afc-4331-9387-253e943f465e','UId':'c5878db6-6874-4059-b34b-98d2f1f7c92b','Col':5,'Row':5,'Format':'numberic','Value':'','TargetCode':''}</v>
      </c>
    </row>
    <row r="595" ht="12.75">
      <c r="A595" t="str">
        <f>CONCATENATE("{'SheetId':'5dac4df2-8afc-4331-9387-253e943f465e'",",","'UId':'53482153-5b9a-4881-a6ac-50266ce99563'",",'Col':",COLUMN(BCTaiSan_DTGTNN!F5),",'Row':",ROW(BCTaiSan_DTGTNN!F5),",","'Format':'numberic'",",'Value':'",SUBSTITUTE(BCTaiSan_DTGTNN!F5,"'","\'"),"','TargetCode':''}")</f>
        <v>{'SheetId':'5dac4df2-8afc-4331-9387-253e943f465e','UId':'53482153-5b9a-4881-a6ac-50266ce99563','Col':6,'Row':5,'Format':'numberic','Value':'','TargetCode':''}</v>
      </c>
    </row>
    <row r="596" ht="12.75">
      <c r="A596" t="str">
        <f>CONCATENATE("{'SheetId':'5dac4df2-8afc-4331-9387-253e943f465e'",",","'UId':'16d70ab4-d332-4e48-a5ae-e847e6b2f8c3'",",'Col':",COLUMN(BCTaiSan_DTGTNN!G5),",'Row':",ROW(BCTaiSan_DTGTNN!G5),",","'Format':'numberic'",",'Value':'",SUBSTITUTE(BCTaiSan_DTGTNN!G5,"'","\'"),"','TargetCode':''}")</f>
        <v>{'SheetId':'5dac4df2-8afc-4331-9387-253e943f465e','UId':'16d70ab4-d332-4e48-a5ae-e847e6b2f8c3','Col':7,'Row':5,'Format':'numberic','Value':'','TargetCode':''}</v>
      </c>
    </row>
    <row r="597" ht="12.75">
      <c r="A597" t="str">
        <f>CONCATENATE("{'SheetId':'5dac4df2-8afc-4331-9387-253e943f465e'",",","'UId':'6adee210-4be2-43d9-b3c3-9ed76e24717d'",",'Col':",COLUMN(BCTaiSan_DTGTNN!H5),",'Row':",ROW(BCTaiSan_DTGTNN!H5),",","'Format':'numberic'",",'Value':'",SUBSTITUTE(BCTaiSan_DTGTNN!H5,"'","\'"),"','TargetCode':''}")</f>
        <v>{'SheetId':'5dac4df2-8afc-4331-9387-253e943f465e','UId':'6adee210-4be2-43d9-b3c3-9ed76e24717d','Col':8,'Row':5,'Format':'numberic','Value':'','TargetCode':''}</v>
      </c>
    </row>
    <row r="598" ht="12.75">
      <c r="A598" t="str">
        <f>CONCATENATE("{'SheetId':'5dac4df2-8afc-4331-9387-253e943f465e'",",","'UId':'27a1ab95-2e3b-47e9-a5f5-accf87ce2093'",",'Col':",COLUMN(BCTaiSan_DTGTNN!D6),",'Row':",ROW(BCTaiSan_DTGTNN!D6),",","'Format':'numberic'",",'Value':'",SUBSTITUTE(BCTaiSan_DTGTNN!D6,"'","\'"),"','TargetCode':''}")</f>
        <v>{'SheetId':'5dac4df2-8afc-4331-9387-253e943f465e','UId':'27a1ab95-2e3b-47e9-a5f5-accf87ce2093','Col':4,'Row':6,'Format':'numberic','Value':'','TargetCode':''}</v>
      </c>
    </row>
    <row r="599" ht="12.75">
      <c r="A599" t="str">
        <f>CONCATENATE("{'SheetId':'5dac4df2-8afc-4331-9387-253e943f465e'",",","'UId':'4caf8dae-cb1d-4d0e-b608-6ecac5ac7c32'",",'Col':",COLUMN(BCTaiSan_DTGTNN!E6),",'Row':",ROW(BCTaiSan_DTGTNN!E6),",","'Format':'numberic'",",'Value':'",SUBSTITUTE(BCTaiSan_DTGTNN!E6,"'","\'"),"','TargetCode':''}")</f>
        <v>{'SheetId':'5dac4df2-8afc-4331-9387-253e943f465e','UId':'4caf8dae-cb1d-4d0e-b608-6ecac5ac7c32','Col':5,'Row':6,'Format':'numberic','Value':'','TargetCode':''}</v>
      </c>
    </row>
    <row r="600" ht="12.75">
      <c r="A600" t="str">
        <f>CONCATENATE("{'SheetId':'5dac4df2-8afc-4331-9387-253e943f465e'",",","'UId':'6759e7ae-e7d9-48cc-bbb1-e54bb3545d0f'",",'Col':",COLUMN(BCTaiSan_DTGTNN!F6),",'Row':",ROW(BCTaiSan_DTGTNN!F6),",","'Format':'numberic'",",'Value':'",SUBSTITUTE(BCTaiSan_DTGTNN!F6,"'","\'"),"','TargetCode':''}")</f>
        <v>{'SheetId':'5dac4df2-8afc-4331-9387-253e943f465e','UId':'6759e7ae-e7d9-48cc-bbb1-e54bb3545d0f','Col':6,'Row':6,'Format':'numberic','Value':'','TargetCode':''}</v>
      </c>
    </row>
    <row r="601" ht="12.75">
      <c r="A601" t="str">
        <f>CONCATENATE("{'SheetId':'5dac4df2-8afc-4331-9387-253e943f465e'",",","'UId':'ab804356-c539-47b5-82b8-dc002a9f3e88'",",'Col':",COLUMN(BCTaiSan_DTGTNN!G6),",'Row':",ROW(BCTaiSan_DTGTNN!G6),",","'Format':'numberic'",",'Value':'",SUBSTITUTE(BCTaiSan_DTGTNN!G6,"'","\'"),"','TargetCode':''}")</f>
        <v>{'SheetId':'5dac4df2-8afc-4331-9387-253e943f465e','UId':'ab804356-c539-47b5-82b8-dc002a9f3e88','Col':7,'Row':6,'Format':'numberic','Value':'','TargetCode':''}</v>
      </c>
    </row>
    <row r="602" ht="12.75">
      <c r="A602" t="str">
        <f>CONCATENATE("{'SheetId':'5dac4df2-8afc-4331-9387-253e943f465e'",",","'UId':'111ca210-ef6e-4c49-9336-4334aba76427'",",'Col':",COLUMN(BCTaiSan_DTGTNN!H6),",'Row':",ROW(BCTaiSan_DTGTNN!H6),",","'Format':'numberic'",",'Value':'",SUBSTITUTE(BCTaiSan_DTGTNN!H6,"'","\'"),"','TargetCode':''}")</f>
        <v>{'SheetId':'5dac4df2-8afc-4331-9387-253e943f465e','UId':'111ca210-ef6e-4c49-9336-4334aba76427','Col':8,'Row':6,'Format':'numberic','Value':'','TargetCode':''}</v>
      </c>
    </row>
    <row r="603" ht="12.75">
      <c r="A603" t="str">
        <f>CONCATENATE("{'SheetId':'5dac4df2-8afc-4331-9387-253e943f465e'",",","'UId':'1c45da33-eecf-48de-bbb4-90fc7fc726c8'",",'Col':",COLUMN(BCTaiSan_DTGTNN!D7),",'Row':",ROW(BCTaiSan_DTGTNN!D7),",","'Format':'numberic'",",'Value':'",SUBSTITUTE(BCTaiSan_DTGTNN!D7,"'","\'"),"','TargetCode':''}")</f>
        <v>{'SheetId':'5dac4df2-8afc-4331-9387-253e943f465e','UId':'1c45da33-eecf-48de-bbb4-90fc7fc726c8','Col':4,'Row':7,'Format':'numberic','Value':'','TargetCode':''}</v>
      </c>
    </row>
    <row r="604" ht="12.75">
      <c r="A604" t="str">
        <f>CONCATENATE("{'SheetId':'5dac4df2-8afc-4331-9387-253e943f465e'",",","'UId':'2e664cf7-f03a-4f2a-b1ff-bba58ec6e510'",",'Col':",COLUMN(BCTaiSan_DTGTNN!E7),",'Row':",ROW(BCTaiSan_DTGTNN!E7),",","'Format':'numberic'",",'Value':'",SUBSTITUTE(BCTaiSan_DTGTNN!E7,"'","\'"),"','TargetCode':''}")</f>
        <v>{'SheetId':'5dac4df2-8afc-4331-9387-253e943f465e','UId':'2e664cf7-f03a-4f2a-b1ff-bba58ec6e510','Col':5,'Row':7,'Format':'numberic','Value':'','TargetCode':''}</v>
      </c>
    </row>
    <row r="605" ht="12.75">
      <c r="A605" t="str">
        <f>CONCATENATE("{'SheetId':'5dac4df2-8afc-4331-9387-253e943f465e'",",","'UId':'d8f7bafb-5cb9-45b6-9c5f-2749bc0407bd'",",'Col':",COLUMN(BCTaiSan_DTGTNN!F7),",'Row':",ROW(BCTaiSan_DTGTNN!F7),",","'Format':'numberic'",",'Value':'",SUBSTITUTE(BCTaiSan_DTGTNN!F7,"'","\'"),"','TargetCode':''}")</f>
        <v>{'SheetId':'5dac4df2-8afc-4331-9387-253e943f465e','UId':'d8f7bafb-5cb9-45b6-9c5f-2749bc0407bd','Col':6,'Row':7,'Format':'numberic','Value':'','TargetCode':''}</v>
      </c>
    </row>
    <row r="606" ht="12.75">
      <c r="A606" t="str">
        <f>CONCATENATE("{'SheetId':'5dac4df2-8afc-4331-9387-253e943f465e'",",","'UId':'70079ff6-bf4e-4be6-a6cd-9c88c88840c3'",",'Col':",COLUMN(BCTaiSan_DTGTNN!G7),",'Row':",ROW(BCTaiSan_DTGTNN!G7),",","'Format':'numberic'",",'Value':'",SUBSTITUTE(BCTaiSan_DTGTNN!G7,"'","\'"),"','TargetCode':''}")</f>
        <v>{'SheetId':'5dac4df2-8afc-4331-9387-253e943f465e','UId':'70079ff6-bf4e-4be6-a6cd-9c88c88840c3','Col':7,'Row':7,'Format':'numberic','Value':'','TargetCode':''}</v>
      </c>
    </row>
    <row r="607" ht="12.75">
      <c r="A607" t="str">
        <f>CONCATENATE("{'SheetId':'5dac4df2-8afc-4331-9387-253e943f465e'",",","'UId':'32a44df1-f5e3-4b8e-9e89-a4ce1373d384'",",'Col':",COLUMN(BCTaiSan_DTGTNN!H7),",'Row':",ROW(BCTaiSan_DTGTNN!H7),",","'Format':'numberic'",",'Value':'",SUBSTITUTE(BCTaiSan_DTGTNN!H7,"'","\'"),"','TargetCode':''}")</f>
        <v>{'SheetId':'5dac4df2-8afc-4331-9387-253e943f465e','UId':'32a44df1-f5e3-4b8e-9e89-a4ce1373d384','Col':8,'Row':7,'Format':'numberic','Value':'','TargetCode':''}</v>
      </c>
    </row>
    <row r="608" ht="12.75">
      <c r="A608" t="str">
        <f>CONCATENATE("{'SheetId':'5dac4df2-8afc-4331-9387-253e943f465e'",",","'UId':'468810da-7f22-4d60-aca9-6d53e88d951a'",",'Col':",COLUMN(BCTaiSan_DTGTNN!A9),",'Row':",ROW(BCTaiSan_DTGTNN!A9),",","'ColDynamic':",COLUMN(BCTaiSan_DTGTNN!A8),",","'RowDynamic':",ROW(BCTaiSan_DTGTNN!A8),",","'Format':'string'",",'Value':'",SUBSTITUTE(BCTaiSan_DTGTNN!A9,"'","\'"),"','TargetCode':''}")</f>
        <v>{'SheetId':'5dac4df2-8afc-4331-9387-253e943f465e','UId':'468810da-7f22-4d60-aca9-6d53e88d951a','Col':1,'Row':9,'ColDynamic':1,'RowDynamic':8,'Format':'string','Value':'I.3','TargetCode':''}</v>
      </c>
    </row>
    <row r="609" ht="12.75">
      <c r="A609" t="str">
        <f>CONCATENATE("{'SheetId':'5dac4df2-8afc-4331-9387-253e943f465e'",",","'UId':'9337858a-0f09-4b15-948f-b969bd23e43a'",",'Col':",COLUMN(BCTaiSan_DTGTNN!B9),",'Row':",ROW(BCTaiSan_DTGTNN!B9),",","'ColDynamic':",COLUMN(BCTaiSan_DTGTNN!B8),",","'RowDynamic':",ROW(BCTaiSan_DTGTNN!B8),",","'Format':'string'",",'Value':'",SUBSTITUTE(BCTaiSan_DTGTNN!B9,"'","\'"),"','TargetCode':''}")</f>
        <v>{'SheetId':'5dac4df2-8afc-4331-9387-253e943f465e','UId':'9337858a-0f09-4b15-948f-b969bd23e43a','Col':2,'Row':9,'ColDynamic':2,'RowDynamic':8,'Format':'string','Value':'Cổ tức, trái tức được nhận','TargetCode':''}</v>
      </c>
    </row>
    <row r="610" ht="12.75">
      <c r="A610" t="str">
        <f>CONCATENATE("{'SheetId':'5dac4df2-8afc-4331-9387-253e943f465e'",",","'UId':'892dda5b-bba4-439b-9e62-114974834c3d'",",'Col':",COLUMN(BCTaiSan_DTGTNN!C9),",'Row':",ROW(BCTaiSan_DTGTNN!C9),",","'ColDynamic':",COLUMN(BCTaiSan_DTGTNN!C8),",","'RowDynamic':",ROW(BCTaiSan_DTGTNN!C8),",","'Format':'string'",",'Value':'",SUBSTITUTE(BCTaiSan_DTGTNN!C9,"'","\'"),"','TargetCode':''}")</f>
        <v>{'SheetId':'5dac4df2-8afc-4331-9387-253e943f465e','UId':'892dda5b-bba4-439b-9e62-114974834c3d','Col':3,'Row':9,'ColDynamic':3,'RowDynamic':8,'Format':'string','Value':'2320','TargetCode':''}</v>
      </c>
    </row>
    <row r="611" ht="12.75">
      <c r="A611" t="str">
        <f>CONCATENATE("{'SheetId':'5dac4df2-8afc-4331-9387-253e943f465e'",",","'UId':'e666ee86-3be6-438c-bc8a-6ac9e16c1338'",",'Col':",COLUMN(BCTaiSan_DTGTNN!D9),",'Row':",ROW(BCTaiSan_DTGTNN!D9),",","'ColDynamic':",COLUMN(BCTaiSan_DTGTNN!D8),",","'RowDynamic':",ROW(BCTaiSan_DTGTNN!D8),",","'Format':'numberic'",",'Value':'",SUBSTITUTE(BCTaiSan_DTGTNN!D9,"'","\'"),"','TargetCode':''}")</f>
        <v>{'SheetId':'5dac4df2-8afc-4331-9387-253e943f465e','UId':'e666ee86-3be6-438c-bc8a-6ac9e16c1338','Col':4,'Row':9,'ColDynamic':4,'RowDynamic':8,'Format':'numberic','Value':'','TargetCode':''}</v>
      </c>
    </row>
    <row r="612" ht="12.75">
      <c r="A612" t="str">
        <f>CONCATENATE("{'SheetId':'5dac4df2-8afc-4331-9387-253e943f465e'",",","'UId':'40b60493-ccf6-42c6-b985-b60802ff06e0'",",'Col':",COLUMN(BCTaiSan_DTGTNN!E9),",'Row':",ROW(BCTaiSan_DTGTNN!E9),",","'ColDynamic':",COLUMN(BCTaiSan_DTGTNN!E8),",","'RowDynamic':",ROW(BCTaiSan_DTGTNN!E8),",","'Format':'numberic'",",'Value':'",SUBSTITUTE(BCTaiSan_DTGTNN!E9,"'","\'"),"','TargetCode':''}")</f>
        <v>{'SheetId':'5dac4df2-8afc-4331-9387-253e943f465e','UId':'40b60493-ccf6-42c6-b985-b60802ff06e0','Col':5,'Row':9,'ColDynamic':5,'RowDynamic':8,'Format':'numberic','Value':'','TargetCode':''}</v>
      </c>
    </row>
    <row r="613" ht="12.75">
      <c r="A613" t="str">
        <f>CONCATENATE("{'SheetId':'5dac4df2-8afc-4331-9387-253e943f465e'",",","'UId':'054a5ac9-86f0-424e-ad87-1d8696e7647f'",",'Col':",COLUMN(BCTaiSan_DTGTNN!F9),",'Row':",ROW(BCTaiSan_DTGTNN!F9),",","'ColDynamic':",COLUMN(BCTaiSan_DTGTNN!F8),",","'RowDynamic':",ROW(BCTaiSan_DTGTNN!F8),",","'Format':'numberic'",",'Value':'",SUBSTITUTE(BCTaiSan_DTGTNN!F9,"'","\'"),"','TargetCode':''}")</f>
        <v>{'SheetId':'5dac4df2-8afc-4331-9387-253e943f465e','UId':'054a5ac9-86f0-424e-ad87-1d8696e7647f','Col':6,'Row':9,'ColDynamic':6,'RowDynamic':8,'Format':'numberic','Value':'','TargetCode':''}</v>
      </c>
    </row>
    <row r="614" ht="12.75">
      <c r="A614" t="str">
        <f>CONCATENATE("{'SheetId':'5dac4df2-8afc-4331-9387-253e943f465e'",",","'UId':'c4a669cf-d26f-407f-8093-91731629b34f'",",'Col':",COLUMN(BCTaiSan_DTGTNN!G9),",'Row':",ROW(BCTaiSan_DTGTNN!G9),",","'ColDynamic':",COLUMN(BCTaiSan_DTGTNN!G8),",","'RowDynamic':",ROW(BCTaiSan_DTGTNN!G8),",","'Format':'numberic'",",'Value':'",SUBSTITUTE(BCTaiSan_DTGTNN!G9,"'","\'"),"','TargetCode':''}")</f>
        <v>{'SheetId':'5dac4df2-8afc-4331-9387-253e943f465e','UId':'c4a669cf-d26f-407f-8093-91731629b34f','Col':7,'Row':9,'ColDynamic':7,'RowDynamic':8,'Format':'numberic','Value':'','TargetCode':''}</v>
      </c>
    </row>
    <row r="615" ht="12.75">
      <c r="A615" t="str">
        <f>CONCATENATE("{'SheetId':'5dac4df2-8afc-4331-9387-253e943f465e'",",","'UId':'4aa7e2d1-4405-406e-86e6-452166db1b96'",",'Col':",COLUMN(BCTaiSan_DTGTNN!H9),",'Row':",ROW(BCTaiSan_DTGTNN!H9),",","'ColDynamic':",COLUMN(BCTaiSan_DTGTNN!H8),",","'RowDynamic':",ROW(BCTaiSan_DTGTNN!H8),",","'Format':'numberic'",",'Value':'",SUBSTITUTE(BCTaiSan_DTGTNN!H9,"'","\'"),"','TargetCode':''}")</f>
        <v>{'SheetId':'5dac4df2-8afc-4331-9387-253e943f465e','UId':'4aa7e2d1-4405-406e-86e6-452166db1b96','Col':8,'Row':9,'ColDynamic':8,'RowDynamic':8,'Format':'numberic','Value':'','TargetCode':''}</v>
      </c>
    </row>
    <row r="616" ht="12.75">
      <c r="A616" t="str">
        <f>CONCATENATE("{'SheetId':'5dac4df2-8afc-4331-9387-253e943f465e'",",","'UId':'ac0b7e36-540d-4d43-bf8c-e118426d22da'",",'Col':",COLUMN(BCTaiSan_DTGTNN!D10),",'Row':",ROW(BCTaiSan_DTGTNN!D10),",","'Format':'numberic'",",'Value':'",SUBSTITUTE(BCTaiSan_DTGTNN!D10,"'","\'"),"','TargetCode':''}")</f>
        <v>{'SheetId':'5dac4df2-8afc-4331-9387-253e943f465e','UId':'ac0b7e36-540d-4d43-bf8c-e118426d22da','Col':4,'Row':10,'Format':'numberic','Value':'','TargetCode':''}</v>
      </c>
    </row>
    <row r="617" ht="12.75">
      <c r="A617" t="str">
        <f>CONCATENATE("{'SheetId':'5dac4df2-8afc-4331-9387-253e943f465e'",",","'UId':'6dbdc4f9-db7e-48b8-a240-ba2c39d4d7c9'",",'Col':",COLUMN(BCTaiSan_DTGTNN!E10),",'Row':",ROW(BCTaiSan_DTGTNN!E10),",","'Format':'numberic'",",'Value':'",SUBSTITUTE(BCTaiSan_DTGTNN!E10,"'","\'"),"','TargetCode':''}")</f>
        <v>{'SheetId':'5dac4df2-8afc-4331-9387-253e943f465e','UId':'6dbdc4f9-db7e-48b8-a240-ba2c39d4d7c9','Col':5,'Row':10,'Format':'numberic','Value':'','TargetCode':''}</v>
      </c>
    </row>
    <row r="618" ht="12.75">
      <c r="A618" t="str">
        <f>CONCATENATE("{'SheetId':'5dac4df2-8afc-4331-9387-253e943f465e'",",","'UId':'5a63f4fc-ff8b-44be-a356-976323c8e22e'",",'Col':",COLUMN(BCTaiSan_DTGTNN!F10),",'Row':",ROW(BCTaiSan_DTGTNN!F10),",","'Format':'numberic'",",'Value':'",SUBSTITUTE(BCTaiSan_DTGTNN!F10,"'","\'"),"','TargetCode':''}")</f>
        <v>{'SheetId':'5dac4df2-8afc-4331-9387-253e943f465e','UId':'5a63f4fc-ff8b-44be-a356-976323c8e22e','Col':6,'Row':10,'Format':'numberic','Value':'','TargetCode':''}</v>
      </c>
    </row>
    <row r="619" ht="12.75">
      <c r="A619" t="str">
        <f>CONCATENATE("{'SheetId':'5dac4df2-8afc-4331-9387-253e943f465e'",",","'UId':'9ca78656-68ed-4f65-8c2f-56e9406635da'",",'Col':",COLUMN(BCTaiSan_DTGTNN!G10),",'Row':",ROW(BCTaiSan_DTGTNN!G10),",","'Format':'numberic'",",'Value':'",SUBSTITUTE(BCTaiSan_DTGTNN!G10,"'","\'"),"','TargetCode':''}")</f>
        <v>{'SheetId':'5dac4df2-8afc-4331-9387-253e943f465e','UId':'9ca78656-68ed-4f65-8c2f-56e9406635da','Col':7,'Row':10,'Format':'numberic','Value':'','TargetCode':''}</v>
      </c>
    </row>
    <row r="620" ht="12.75">
      <c r="A620" t="str">
        <f>CONCATENATE("{'SheetId':'5dac4df2-8afc-4331-9387-253e943f465e'",",","'UId':'6001221c-44d3-4963-868a-115aa839da3b'",",'Col':",COLUMN(BCTaiSan_DTGTNN!H10),",'Row':",ROW(BCTaiSan_DTGTNN!H10),",","'Format':'numberic'",",'Value':'",SUBSTITUTE(BCTaiSan_DTGTNN!H10,"'","\'"),"','TargetCode':''}")</f>
        <v>{'SheetId':'5dac4df2-8afc-4331-9387-253e943f465e','UId':'6001221c-44d3-4963-868a-115aa839da3b','Col':8,'Row':10,'Format':'numberic','Value':'','TargetCode':''}</v>
      </c>
    </row>
    <row r="621" ht="12.75">
      <c r="A621" t="str">
        <f>CONCATENATE("{'SheetId':'5dac4df2-8afc-4331-9387-253e943f465e'",",","'UId':'798f66d7-2878-4046-bc76-881f05149cf4'",",'Col':",COLUMN(BCTaiSan_DTGTNN!D11),",'Row':",ROW(BCTaiSan_DTGTNN!D11),",","'Format':'numberic'",",'Value':'",SUBSTITUTE(BCTaiSan_DTGTNN!D11,"'","\'"),"','TargetCode':''}")</f>
        <v>{'SheetId':'5dac4df2-8afc-4331-9387-253e943f465e','UId':'798f66d7-2878-4046-bc76-881f05149cf4','Col':4,'Row':11,'Format':'numberic','Value':'','TargetCode':''}</v>
      </c>
    </row>
    <row r="622" ht="12.75">
      <c r="A622" t="str">
        <f>CONCATENATE("{'SheetId':'5dac4df2-8afc-4331-9387-253e943f465e'",",","'UId':'8d12b606-0271-41f2-a4ed-9eaa04fb9308'",",'Col':",COLUMN(BCTaiSan_DTGTNN!E11),",'Row':",ROW(BCTaiSan_DTGTNN!E11),",","'Format':'numberic'",",'Value':'",SUBSTITUTE(BCTaiSan_DTGTNN!E11,"'","\'"),"','TargetCode':''}")</f>
        <v>{'SheetId':'5dac4df2-8afc-4331-9387-253e943f465e','UId':'8d12b606-0271-41f2-a4ed-9eaa04fb9308','Col':5,'Row':11,'Format':'numberic','Value':'','TargetCode':''}</v>
      </c>
    </row>
    <row r="623" ht="12.75">
      <c r="A623" t="str">
        <f>CONCATENATE("{'SheetId':'5dac4df2-8afc-4331-9387-253e943f465e'",",","'UId':'5484fca7-9e1c-4b77-9b8d-44bff6b1725d'",",'Col':",COLUMN(BCTaiSan_DTGTNN!F11),",'Row':",ROW(BCTaiSan_DTGTNN!F11),",","'Format':'numberic'",",'Value':'",SUBSTITUTE(BCTaiSan_DTGTNN!F11,"'","\'"),"','TargetCode':''}")</f>
        <v>{'SheetId':'5dac4df2-8afc-4331-9387-253e943f465e','UId':'5484fca7-9e1c-4b77-9b8d-44bff6b1725d','Col':6,'Row':11,'Format':'numberic','Value':'','TargetCode':''}</v>
      </c>
    </row>
    <row r="624" ht="12.75">
      <c r="A624" t="str">
        <f>CONCATENATE("{'SheetId':'5dac4df2-8afc-4331-9387-253e943f465e'",",","'UId':'63436004-29e7-448e-8fba-d7acfe4f0b89'",",'Col':",COLUMN(BCTaiSan_DTGTNN!G11),",'Row':",ROW(BCTaiSan_DTGTNN!G11),",","'Format':'numberic'",",'Value':'",SUBSTITUTE(BCTaiSan_DTGTNN!G11,"'","\'"),"','TargetCode':''}")</f>
        <v>{'SheetId':'5dac4df2-8afc-4331-9387-253e943f465e','UId':'63436004-29e7-448e-8fba-d7acfe4f0b89','Col':7,'Row':11,'Format':'numberic','Value':'','TargetCode':''}</v>
      </c>
    </row>
    <row r="625" ht="12.75">
      <c r="A625" t="str">
        <f>CONCATENATE("{'SheetId':'5dac4df2-8afc-4331-9387-253e943f465e'",",","'UId':'f161ba98-36e9-4021-8547-2cd20a86727e'",",'Col':",COLUMN(BCTaiSan_DTGTNN!H11),",'Row':",ROW(BCTaiSan_DTGTNN!H11),",","'Format':'numberic'",",'Value':'",SUBSTITUTE(BCTaiSan_DTGTNN!H11,"'","\'"),"','TargetCode':''}")</f>
        <v>{'SheetId':'5dac4df2-8afc-4331-9387-253e943f465e','UId':'f161ba98-36e9-4021-8547-2cd20a86727e','Col':8,'Row':11,'Format':'numberic','Value':'','TargetCode':''}</v>
      </c>
    </row>
    <row r="626" ht="12.75">
      <c r="A626" t="str">
        <f>CONCATENATE("{'SheetId':'5dac4df2-8afc-4331-9387-253e943f465e'",",","'UId':'fad82772-7f08-4f66-9068-218245d28728'",",'Col':",COLUMN(BCTaiSan_DTGTNN!A13),",'Row':",ROW(BCTaiSan_DTGTNN!A13),",","'ColDynamic':",COLUMN(BCTaiSan_DTGTNN!A12),",","'RowDynamic':",ROW(BCTaiSan_DTGTNN!A12),",","'Format':'dataSource'",",'Value':'",SUBSTITUTE(BCTaiSan_DTGTNN!A13,"'","\'"),"','TargetCode':''}")</f>
        <v>{'SheetId':'5dac4df2-8afc-4331-9387-253e943f465e','UId':'fad82772-7f08-4f66-9068-218245d28728','Col':1,'Row':13,'ColDynamic':1,'RowDynamic':12,'Format':'dataSource','Value':'I.6','TargetCode':''}</v>
      </c>
    </row>
    <row r="627" ht="12.75">
      <c r="A627" t="str">
        <f>CONCATENATE("{'SheetId':'5dac4df2-8afc-4331-9387-253e943f465e'",",","'UId':'6b3064e4-0493-4f4c-92eb-551813db6969'",",'Col':",COLUMN(BCTaiSan_DTGTNN!B13),",'Row':",ROW(BCTaiSan_DTGTNN!B13),",","'ColDynamic':",COLUMN(BCTaiSan_DTGTNN!B12),",","'RowDynamic':",ROW(BCTaiSan_DTGTNN!B12),",","'Format':'dataSource'",",'Value':'",SUBSTITUTE(BCTaiSan_DTGTNN!B13,"'","\'"),"','TargetCode':''}")</f>
        <v>{'SheetId':'5dac4df2-8afc-4331-9387-253e943f465e','UId':'6b3064e4-0493-4f4c-92eb-551813db6969','Col':2,'Row':13,'ColDynamic':2,'RowDynamic':12,'Format':'dataSource','Value':'Các khoản phải thu khác','TargetCode':''}</v>
      </c>
    </row>
    <row r="628" ht="12.75">
      <c r="A628" t="str">
        <f>CONCATENATE("{'SheetId':'5dac4df2-8afc-4331-9387-253e943f465e'",",","'UId':'408be74f-4418-4d61-b29b-b140f691b046'",",'Col':",COLUMN(BCTaiSan_DTGTNN!C13),",'Row':",ROW(BCTaiSan_DTGTNN!C13),",","'ColDynamic':",COLUMN(BCTaiSan_DTGTNN!C12),",","'RowDynamic':",ROW(BCTaiSan_DTGTNN!C12),",","'Format':'dataSource'",",'Value':'",SUBSTITUTE(BCTaiSan_DTGTNN!C13,"'","\'"),"','TargetCode':''}")</f>
        <v>{'SheetId':'5dac4df2-8afc-4331-9387-253e943f465e','UId':'408be74f-4418-4d61-b29b-b140f691b046','Col':3,'Row':13,'ColDynamic':3,'RowDynamic':12,'Format':'dataSource','Value':'2328','TargetCode':''}</v>
      </c>
    </row>
    <row r="629" ht="12.75">
      <c r="A629" t="str">
        <f>CONCATENATE("{'SheetId':'5dac4df2-8afc-4331-9387-253e943f465e'",",","'UId':'761c396d-f981-4273-a5da-5c21895fb1c4'",",'Col':",COLUMN(BCTaiSan_DTGTNN!D13),",'Row':",ROW(BCTaiSan_DTGTNN!D13),",","'ColDynamic':",COLUMN(BCTaiSan_DTGTNN!D12),",","'RowDynamic':",ROW(BCTaiSan_DTGTNN!D12),",","'Format':'numberic'",",'Value':'",SUBSTITUTE(BCTaiSan_DTGTNN!D13,"'","\'"),"','TargetCode':''}")</f>
        <v>{'SheetId':'5dac4df2-8afc-4331-9387-253e943f465e','UId':'761c396d-f981-4273-a5da-5c21895fb1c4','Col':4,'Row':13,'ColDynamic':4,'RowDynamic':12,'Format':'numberic','Value':'','TargetCode':''}</v>
      </c>
    </row>
    <row r="630" ht="12.75">
      <c r="A630" t="str">
        <f>CONCATENATE("{'SheetId':'5dac4df2-8afc-4331-9387-253e943f465e'",",","'UId':'294eebc8-256e-4b95-87b8-eba514ed219e'",",'Col':",COLUMN(BCTaiSan_DTGTNN!E13),",'Row':",ROW(BCTaiSan_DTGTNN!E13),",","'ColDynamic':",COLUMN(BCTaiSan_DTGTNN!E12),",","'RowDynamic':",ROW(BCTaiSan_DTGTNN!E12),",","'Format':'numberic'",",'Value':'",SUBSTITUTE(BCTaiSan_DTGTNN!E13,"'","\'"),"','TargetCode':''}")</f>
        <v>{'SheetId':'5dac4df2-8afc-4331-9387-253e943f465e','UId':'294eebc8-256e-4b95-87b8-eba514ed219e','Col':5,'Row':13,'ColDynamic':5,'RowDynamic':12,'Format':'numberic','Value':'','TargetCode':''}</v>
      </c>
    </row>
    <row r="631" ht="12.75">
      <c r="A631" t="str">
        <f>CONCATENATE("{'SheetId':'5dac4df2-8afc-4331-9387-253e943f465e'",",","'UId':'402b268f-c6e0-495a-94bc-17f0b0f201b5'",",'Col':",COLUMN(BCTaiSan_DTGTNN!F13),",'Row':",ROW(BCTaiSan_DTGTNN!F13),",","'ColDynamic':",COLUMN(BCTaiSan_DTGTNN!F12),",","'RowDynamic':",ROW(BCTaiSan_DTGTNN!F12),",","'Format':'numberic'",",'Value':'",SUBSTITUTE(BCTaiSan_DTGTNN!F13,"'","\'"),"','TargetCode':''}")</f>
        <v>{'SheetId':'5dac4df2-8afc-4331-9387-253e943f465e','UId':'402b268f-c6e0-495a-94bc-17f0b0f201b5','Col':6,'Row':13,'ColDynamic':6,'RowDynamic':12,'Format':'numberic','Value':'','TargetCode':''}</v>
      </c>
    </row>
    <row r="632" ht="12.75">
      <c r="A632" t="str">
        <f>CONCATENATE("{'SheetId':'5dac4df2-8afc-4331-9387-253e943f465e'",",","'UId':'ccf72c92-fcde-449f-a9a8-8629e0cead29'",",'Col':",COLUMN(BCTaiSan_DTGTNN!G13),",'Row':",ROW(BCTaiSan_DTGTNN!G13),",","'ColDynamic':",COLUMN(BCTaiSan_DTGTNN!G12),",","'RowDynamic':",ROW(BCTaiSan_DTGTNN!G12),",","'Format':'numberic'",",'Value':'",SUBSTITUTE(BCTaiSan_DTGTNN!G13,"'","\'"),"','TargetCode':''}")</f>
        <v>{'SheetId':'5dac4df2-8afc-4331-9387-253e943f465e','UId':'ccf72c92-fcde-449f-a9a8-8629e0cead29','Col':7,'Row':13,'ColDynamic':7,'RowDynamic':12,'Format':'numberic','Value':'','TargetCode':''}</v>
      </c>
    </row>
    <row r="633" ht="12.75">
      <c r="A633" t="str">
        <f>CONCATENATE("{'SheetId':'5dac4df2-8afc-4331-9387-253e943f465e'",",","'UId':'3cc1556f-0cb3-4987-8a23-a9ea2af3bbba'",",'Col':",COLUMN(BCTaiSan_DTGTNN!H13),",'Row':",ROW(BCTaiSan_DTGTNN!H13),",","'ColDynamic':",COLUMN(BCTaiSan_DTGTNN!H12),",","'RowDynamic':",ROW(BCTaiSan_DTGTNN!H12),",","'Format':'numberic'",",'Value':'",SUBSTITUTE(BCTaiSan_DTGTNN!H13,"'","\'"),"','TargetCode':''}")</f>
        <v>{'SheetId':'5dac4df2-8afc-4331-9387-253e943f465e','UId':'3cc1556f-0cb3-4987-8a23-a9ea2af3bbba','Col':8,'Row':13,'ColDynamic':8,'RowDynamic':12,'Format':'numberic','Value':'','TargetCode':''}</v>
      </c>
    </row>
    <row r="634" ht="12.75">
      <c r="A634" t="str">
        <f>CONCATENATE("{'SheetId':'5dac4df2-8afc-4331-9387-253e943f465e'",",","'UId':'c167b6a8-a912-4867-a666-82c8e5590041'",",'Col':",COLUMN(BCTaiSan_DTGTNN!D14),",'Row':",ROW(BCTaiSan_DTGTNN!D14),",","'Format':'numberic'",",'Value':'",SUBSTITUTE(BCTaiSan_DTGTNN!D14,"'","\'"),"','TargetCode':''}")</f>
        <v>{'SheetId':'5dac4df2-8afc-4331-9387-253e943f465e','UId':'c167b6a8-a912-4867-a666-82c8e5590041','Col':4,'Row':14,'Format':'numberic','Value':'','TargetCode':''}</v>
      </c>
    </row>
    <row r="635" ht="12.75">
      <c r="A635" t="str">
        <f>CONCATENATE("{'SheetId':'5dac4df2-8afc-4331-9387-253e943f465e'",",","'UId':'323e39aa-4ce0-4f90-a916-31a48186c8b9'",",'Col':",COLUMN(BCTaiSan_DTGTNN!E14),",'Row':",ROW(BCTaiSan_DTGTNN!E14),",","'Format':'numberic'",",'Value':'",SUBSTITUTE(BCTaiSan_DTGTNN!E14,"'","\'"),"','TargetCode':''}")</f>
        <v>{'SheetId':'5dac4df2-8afc-4331-9387-253e943f465e','UId':'323e39aa-4ce0-4f90-a916-31a48186c8b9','Col':5,'Row':14,'Format':'numberic','Value':'','TargetCode':''}</v>
      </c>
    </row>
    <row r="636" ht="12.75">
      <c r="A636" t="str">
        <f>CONCATENATE("{'SheetId':'5dac4df2-8afc-4331-9387-253e943f465e'",",","'UId':'49f839eb-0c18-423d-812b-e1aa009e9695'",",'Col':",COLUMN(BCTaiSan_DTGTNN!F14),",'Row':",ROW(BCTaiSan_DTGTNN!F14),",","'Format':'numberic'",",'Value':'",SUBSTITUTE(BCTaiSan_DTGTNN!F14,"'","\'"),"','TargetCode':''}")</f>
        <v>{'SheetId':'5dac4df2-8afc-4331-9387-253e943f465e','UId':'49f839eb-0c18-423d-812b-e1aa009e9695','Col':6,'Row':14,'Format':'numberic','Value':'','TargetCode':''}</v>
      </c>
    </row>
    <row r="637" ht="12.75">
      <c r="A637" t="str">
        <f>CONCATENATE("{'SheetId':'5dac4df2-8afc-4331-9387-253e943f465e'",",","'UId':'26c0d0ef-1aeb-49a4-90e4-1fe3fb85ce0e'",",'Col':",COLUMN(BCTaiSan_DTGTNN!G14),",'Row':",ROW(BCTaiSan_DTGTNN!G14),",","'Format':'numberic'",",'Value':'",SUBSTITUTE(BCTaiSan_DTGTNN!G14,"'","\'"),"','TargetCode':''}")</f>
        <v>{'SheetId':'5dac4df2-8afc-4331-9387-253e943f465e','UId':'26c0d0ef-1aeb-49a4-90e4-1fe3fb85ce0e','Col':7,'Row':14,'Format':'numberic','Value':'','TargetCode':''}</v>
      </c>
    </row>
    <row r="638" ht="12.75">
      <c r="A638" t="str">
        <f>CONCATENATE("{'SheetId':'5dac4df2-8afc-4331-9387-253e943f465e'",",","'UId':'1f13e38e-ca45-49d1-81a7-aec0635605b0'",",'Col':",COLUMN(BCTaiSan_DTGTNN!H14),",'Row':",ROW(BCTaiSan_DTGTNN!H14),",","'Format':'numberic'",",'Value':'",SUBSTITUTE(BCTaiSan_DTGTNN!H14,"'","\'"),"','TargetCode':''}")</f>
        <v>{'SheetId':'5dac4df2-8afc-4331-9387-253e943f465e','UId':'1f13e38e-ca45-49d1-81a7-aec0635605b0','Col':8,'Row':14,'Format':'numberic','Value':'','TargetCode':''}</v>
      </c>
    </row>
    <row r="639" ht="12.75">
      <c r="A639" t="str">
        <f>CONCATENATE("{'SheetId':'5dac4df2-8afc-4331-9387-253e943f465e'",",","'UId':'363d0049-2c2b-450f-9370-34f1939a9e18'",",'Col':",COLUMN(BCTaiSan_DTGTNN!D15),",'Row':",ROW(BCTaiSan_DTGTNN!D15),",","'Format':'numberic'",",'Value':'",SUBSTITUTE(BCTaiSan_DTGTNN!D15,"'","\'"),"','TargetCode':''}")</f>
        <v>{'SheetId':'5dac4df2-8afc-4331-9387-253e943f465e','UId':'363d0049-2c2b-450f-9370-34f1939a9e18','Col':4,'Row':15,'Format':'numberic','Value':'','TargetCode':''}</v>
      </c>
    </row>
    <row r="640" ht="12.75">
      <c r="A640" t="str">
        <f>CONCATENATE("{'SheetId':'5dac4df2-8afc-4331-9387-253e943f465e'",",","'UId':'ebfa7668-5d00-45a3-b597-7293228d3cc3'",",'Col':",COLUMN(BCTaiSan_DTGTNN!E15),",'Row':",ROW(BCTaiSan_DTGTNN!E15),",","'Format':'numberic'",",'Value':'",SUBSTITUTE(BCTaiSan_DTGTNN!E15,"'","\'"),"','TargetCode':''}")</f>
        <v>{'SheetId':'5dac4df2-8afc-4331-9387-253e943f465e','UId':'ebfa7668-5d00-45a3-b597-7293228d3cc3','Col':5,'Row':15,'Format':'numberic','Value':'','TargetCode':''}</v>
      </c>
    </row>
    <row r="641" ht="12.75">
      <c r="A641" t="str">
        <f>CONCATENATE("{'SheetId':'5dac4df2-8afc-4331-9387-253e943f465e'",",","'UId':'98f20eff-e815-449a-a3d8-259cf8c1868b'",",'Col':",COLUMN(BCTaiSan_DTGTNN!F15),",'Row':",ROW(BCTaiSan_DTGTNN!F15),",","'Format':'numberic'",",'Value':'",SUBSTITUTE(BCTaiSan_DTGTNN!F15,"'","\'"),"','TargetCode':''}")</f>
        <v>{'SheetId':'5dac4df2-8afc-4331-9387-253e943f465e','UId':'98f20eff-e815-449a-a3d8-259cf8c1868b','Col':6,'Row':15,'Format':'numberic','Value':'','TargetCode':''}</v>
      </c>
    </row>
    <row r="642" ht="12.75">
      <c r="A642" t="str">
        <f>CONCATENATE("{'SheetId':'5dac4df2-8afc-4331-9387-253e943f465e'",",","'UId':'78e8a93d-0c8f-4939-b4e8-6cadbc4753cb'",",'Col':",COLUMN(BCTaiSan_DTGTNN!G15),",'Row':",ROW(BCTaiSan_DTGTNN!G15),",","'Format':'numberic'",",'Value':'",SUBSTITUTE(BCTaiSan_DTGTNN!G15,"'","\'"),"','TargetCode':''}")</f>
        <v>{'SheetId':'5dac4df2-8afc-4331-9387-253e943f465e','UId':'78e8a93d-0c8f-4939-b4e8-6cadbc4753cb','Col':7,'Row':15,'Format':'numberic','Value':'','TargetCode':''}</v>
      </c>
    </row>
    <row r="643" ht="12.75">
      <c r="A643" t="str">
        <f>CONCATENATE("{'SheetId':'5dac4df2-8afc-4331-9387-253e943f465e'",",","'UId':'e89aea72-7cd9-4d1d-b9c0-35d951a0f364'",",'Col':",COLUMN(BCTaiSan_DTGTNN!H15),",'Row':",ROW(BCTaiSan_DTGTNN!H15),",","'Format':'numberic'",",'Value':'",SUBSTITUTE(BCTaiSan_DTGTNN!H15,"'","\'"),"','TargetCode':''}")</f>
        <v>{'SheetId':'5dac4df2-8afc-4331-9387-253e943f465e','UId':'e89aea72-7cd9-4d1d-b9c0-35d951a0f364','Col':8,'Row':15,'Format':'numberic','Value':'','TargetCode':''}</v>
      </c>
    </row>
    <row r="644" ht="12.75">
      <c r="A644" t="str">
        <f>CONCATENATE("{'SheetId':'5dac4df2-8afc-4331-9387-253e943f465e'",",","'UId':'db50dd98-c870-490b-b12c-30ba86f4546c'",",'Col':",COLUMN(BCTaiSan_DTGTNN!D16),",'Row':",ROW(BCTaiSan_DTGTNN!D16),",","'Format':'numberic'",",'Value':'",SUBSTITUTE(BCTaiSan_DTGTNN!D16,"'","\'"),"','TargetCode':''}")</f>
        <v>{'SheetId':'5dac4df2-8afc-4331-9387-253e943f465e','UId':'db50dd98-c870-490b-b12c-30ba86f4546c','Col':4,'Row':16,'Format':'numberic','Value':'','TargetCode':''}</v>
      </c>
    </row>
    <row r="645" ht="12.75">
      <c r="A645" t="str">
        <f>CONCATENATE("{'SheetId':'5dac4df2-8afc-4331-9387-253e943f465e'",",","'UId':'239aa1d0-7135-4b2b-b1d1-478c3e47ee4e'",",'Col':",COLUMN(BCTaiSan_DTGTNN!E16),",'Row':",ROW(BCTaiSan_DTGTNN!E16),",","'Format':'numberic'",",'Value':'",SUBSTITUTE(BCTaiSan_DTGTNN!E16,"'","\'"),"','TargetCode':''}")</f>
        <v>{'SheetId':'5dac4df2-8afc-4331-9387-253e943f465e','UId':'239aa1d0-7135-4b2b-b1d1-478c3e47ee4e','Col':5,'Row':16,'Format':'numberic','Value':'','TargetCode':''}</v>
      </c>
    </row>
    <row r="646" ht="12.75">
      <c r="A646" t="str">
        <f>CONCATENATE("{'SheetId':'5dac4df2-8afc-4331-9387-253e943f465e'",",","'UId':'043a63e4-a2af-4390-be0a-c27ad5e59b85'",",'Col':",COLUMN(BCTaiSan_DTGTNN!F16),",'Row':",ROW(BCTaiSan_DTGTNN!F16),",","'Format':'numberic'",",'Value':'",SUBSTITUTE(BCTaiSan_DTGTNN!F16,"'","\'"),"','TargetCode':''}")</f>
        <v>{'SheetId':'5dac4df2-8afc-4331-9387-253e943f465e','UId':'043a63e4-a2af-4390-be0a-c27ad5e59b85','Col':6,'Row':16,'Format':'numberic','Value':'','TargetCode':''}</v>
      </c>
    </row>
    <row r="647" ht="12.75">
      <c r="A647" t="str">
        <f>CONCATENATE("{'SheetId':'5dac4df2-8afc-4331-9387-253e943f465e'",",","'UId':'34c44915-51f3-4368-b03e-65a2829d6167'",",'Col':",COLUMN(BCTaiSan_DTGTNN!G16),",'Row':",ROW(BCTaiSan_DTGTNN!G16),",","'Format':'numberic'",",'Value':'",SUBSTITUTE(BCTaiSan_DTGTNN!G16,"'","\'"),"','TargetCode':''}")</f>
        <v>{'SheetId':'5dac4df2-8afc-4331-9387-253e943f465e','UId':'34c44915-51f3-4368-b03e-65a2829d6167','Col':7,'Row':16,'Format':'numberic','Value':'','TargetCode':''}</v>
      </c>
    </row>
    <row r="648" ht="12.75">
      <c r="A648" t="str">
        <f>CONCATENATE("{'SheetId':'5dac4df2-8afc-4331-9387-253e943f465e'",",","'UId':'19938c40-20cf-43d9-9621-2605b5754de5'",",'Col':",COLUMN(BCTaiSan_DTGTNN!H16),",'Row':",ROW(BCTaiSan_DTGTNN!H16),",","'Format':'numberic'",",'Value':'",SUBSTITUTE(BCTaiSan_DTGTNN!H16,"'","\'"),"','TargetCode':''}")</f>
        <v>{'SheetId':'5dac4df2-8afc-4331-9387-253e943f465e','UId':'19938c40-20cf-43d9-9621-2605b5754de5','Col':8,'Row':16,'Format':'numberic','Value':'','TargetCode':''}</v>
      </c>
    </row>
    <row r="649" ht="12.75">
      <c r="A649" t="str">
        <f>CONCATENATE("{'SheetId':'5dac4df2-8afc-4331-9387-253e943f465e'",",","'UId':'b7f044c1-3460-4b46-a97b-65cb697abbf8'",",'Col':",COLUMN(BCTaiSan_DTGTNN!D17),",'Row':",ROW(BCTaiSan_DTGTNN!D17),",","'Format':'numberic'",",'Value':'",SUBSTITUTE(BCTaiSan_DTGTNN!D17,"'","\'"),"','TargetCode':''}")</f>
        <v>{'SheetId':'5dac4df2-8afc-4331-9387-253e943f465e','UId':'b7f044c1-3460-4b46-a97b-65cb697abbf8','Col':4,'Row':17,'Format':'numberic','Value':'','TargetCode':''}</v>
      </c>
    </row>
    <row r="650" ht="12.75">
      <c r="A650" t="str">
        <f>CONCATENATE("{'SheetId':'5dac4df2-8afc-4331-9387-253e943f465e'",",","'UId':'48085827-d32b-4168-976b-05b5cf8b3978'",",'Col':",COLUMN(BCTaiSan_DTGTNN!E17),",'Row':",ROW(BCTaiSan_DTGTNN!E17),",","'Format':'numberic'",",'Value':'",SUBSTITUTE(BCTaiSan_DTGTNN!E17,"'","\'"),"','TargetCode':''}")</f>
        <v>{'SheetId':'5dac4df2-8afc-4331-9387-253e943f465e','UId':'48085827-d32b-4168-976b-05b5cf8b3978','Col':5,'Row':17,'Format':'numberic','Value':'','TargetCode':''}</v>
      </c>
    </row>
    <row r="651" ht="12.75">
      <c r="A651" t="str">
        <f>CONCATENATE("{'SheetId':'5dac4df2-8afc-4331-9387-253e943f465e'",",","'UId':'af634890-66cb-49a4-a210-893f412b5741'",",'Col':",COLUMN(BCTaiSan_DTGTNN!F17),",'Row':",ROW(BCTaiSan_DTGTNN!F17),",","'Format':'numberic'",",'Value':'",SUBSTITUTE(BCTaiSan_DTGTNN!F17,"'","\'"),"','TargetCode':''}")</f>
        <v>{'SheetId':'5dac4df2-8afc-4331-9387-253e943f465e','UId':'af634890-66cb-49a4-a210-893f412b5741','Col':6,'Row':17,'Format':'numberic','Value':'','TargetCode':''}</v>
      </c>
    </row>
    <row r="652" ht="12.75">
      <c r="A652" t="str">
        <f>CONCATENATE("{'SheetId':'5dac4df2-8afc-4331-9387-253e943f465e'",",","'UId':'6d871317-da82-427f-9416-8bdbb42778eb'",",'Col':",COLUMN(BCTaiSan_DTGTNN!G17),",'Row':",ROW(BCTaiSan_DTGTNN!G17),",","'Format':'numberic'",",'Value':'",SUBSTITUTE(BCTaiSan_DTGTNN!G17,"'","\'"),"','TargetCode':''}")</f>
        <v>{'SheetId':'5dac4df2-8afc-4331-9387-253e943f465e','UId':'6d871317-da82-427f-9416-8bdbb42778eb','Col':7,'Row':17,'Format':'numberic','Value':'','TargetCode':''}</v>
      </c>
    </row>
    <row r="653" ht="12.75">
      <c r="A653" t="str">
        <f>CONCATENATE("{'SheetId':'5dac4df2-8afc-4331-9387-253e943f465e'",",","'UId':'ff5846b3-a78e-40cb-a57c-ebbbbe060269'",",'Col':",COLUMN(BCTaiSan_DTGTNN!H17),",'Row':",ROW(BCTaiSan_DTGTNN!H17),",","'Format':'numberic'",",'Value':'",SUBSTITUTE(BCTaiSan_DTGTNN!H17,"'","\'"),"','TargetCode':''}")</f>
        <v>{'SheetId':'5dac4df2-8afc-4331-9387-253e943f465e','UId':'ff5846b3-a78e-40cb-a57c-ebbbbe060269','Col':8,'Row':17,'Format':'numberic','Value':'','TargetCode':''}</v>
      </c>
    </row>
    <row r="654" ht="12.75">
      <c r="A654" t="str">
        <f>CONCATENATE("{'SheetId':'5dac4df2-8afc-4331-9387-253e943f465e'",",","'UId':'3a97f5a6-9d78-4356-a628-020f8eee56f1'",",'Col':",COLUMN(BCTaiSan_DTGTNN!D18),",'Row':",ROW(BCTaiSan_DTGTNN!D18),",","'Format':'numberic'",",'Value':'",SUBSTITUTE(BCTaiSan_DTGTNN!D18,"'","\'"),"','TargetCode':''}")</f>
        <v>{'SheetId':'5dac4df2-8afc-4331-9387-253e943f465e','UId':'3a97f5a6-9d78-4356-a628-020f8eee56f1','Col':4,'Row':18,'Format':'numberic','Value':'','TargetCode':''}</v>
      </c>
    </row>
    <row r="655" ht="12.75">
      <c r="A655" t="str">
        <f>CONCATENATE("{'SheetId':'5dac4df2-8afc-4331-9387-253e943f465e'",",","'UId':'df4185ad-cf8b-47bd-bc22-f2f181fde86d'",",'Col':",COLUMN(BCTaiSan_DTGTNN!E18),",'Row':",ROW(BCTaiSan_DTGTNN!E18),",","'Format':'numberic'",",'Value':'",SUBSTITUTE(BCTaiSan_DTGTNN!E18,"'","\'"),"','TargetCode':''}")</f>
        <v>{'SheetId':'5dac4df2-8afc-4331-9387-253e943f465e','UId':'df4185ad-cf8b-47bd-bc22-f2f181fde86d','Col':5,'Row':18,'Format':'numberic','Value':'','TargetCode':''}</v>
      </c>
    </row>
    <row r="656" ht="12.75">
      <c r="A656" t="str">
        <f>CONCATENATE("{'SheetId':'5dac4df2-8afc-4331-9387-253e943f465e'",",","'UId':'2044ed9e-0764-4cc1-8391-d734417e8848'",",'Col':",COLUMN(BCTaiSan_DTGTNN!F18),",'Row':",ROW(BCTaiSan_DTGTNN!F18),",","'Format':'numberic'",",'Value':'",SUBSTITUTE(BCTaiSan_DTGTNN!F18,"'","\'"),"','TargetCode':''}")</f>
        <v>{'SheetId':'5dac4df2-8afc-4331-9387-253e943f465e','UId':'2044ed9e-0764-4cc1-8391-d734417e8848','Col':6,'Row':18,'Format':'numberic','Value':'','TargetCode':''}</v>
      </c>
    </row>
    <row r="657" ht="12.75">
      <c r="A657" t="str">
        <f>CONCATENATE("{'SheetId':'5dac4df2-8afc-4331-9387-253e943f465e'",",","'UId':'9b2f4509-5154-44bd-aa78-9617b89d1fa4'",",'Col':",COLUMN(BCTaiSan_DTGTNN!G18),",'Row':",ROW(BCTaiSan_DTGTNN!G18),",","'Format':'numberic'",",'Value':'",SUBSTITUTE(BCTaiSan_DTGTNN!G18,"'","\'"),"','TargetCode':''}")</f>
        <v>{'SheetId':'5dac4df2-8afc-4331-9387-253e943f465e','UId':'9b2f4509-5154-44bd-aa78-9617b89d1fa4','Col':7,'Row':18,'Format':'numberic','Value':'','TargetCode':''}</v>
      </c>
    </row>
    <row r="658" ht="12.75">
      <c r="A658" t="str">
        <f>CONCATENATE("{'SheetId':'5dac4df2-8afc-4331-9387-253e943f465e'",",","'UId':'a173b05e-a6af-42bb-91e6-d2a338812eb8'",",'Col':",COLUMN(BCTaiSan_DTGTNN!H18),",'Row':",ROW(BCTaiSan_DTGTNN!H18),",","'Format':'numberic'",",'Value':'",SUBSTITUTE(BCTaiSan_DTGTNN!H18,"'","\'"),"','TargetCode':''}")</f>
        <v>{'SheetId':'5dac4df2-8afc-4331-9387-253e943f465e','UId':'a173b05e-a6af-42bb-91e6-d2a338812eb8','Col':8,'Row':18,'Format':'numberic','Value':'','TargetCode':''}</v>
      </c>
    </row>
    <row r="659" ht="12.75">
      <c r="A659" t="str">
        <f>CONCATENATE("{'SheetId':'5dac4df2-8afc-4331-9387-253e943f465e'",",","'UId':'e231231e-1058-4d22-a38e-9d098a045884'",",'Col':",COLUMN(BCTaiSan_DTGTNN!D19),",'Row':",ROW(BCTaiSan_DTGTNN!D19),",","'Format':'numberic'",",'Value':'",SUBSTITUTE(BCTaiSan_DTGTNN!D19,"'","\'"),"','TargetCode':''}")</f>
        <v>{'SheetId':'5dac4df2-8afc-4331-9387-253e943f465e','UId':'e231231e-1058-4d22-a38e-9d098a045884','Col':4,'Row':19,'Format':'numberic','Value':'','TargetCode':''}</v>
      </c>
    </row>
    <row r="660" ht="12.75">
      <c r="A660" t="str">
        <f>CONCATENATE("{'SheetId':'5dac4df2-8afc-4331-9387-253e943f465e'",",","'UId':'81319a4d-09f4-4bce-8b47-69c3cd432f18'",",'Col':",COLUMN(BCTaiSan_DTGTNN!E19),",'Row':",ROW(BCTaiSan_DTGTNN!E19),",","'Format':'numberic'",",'Value':'",SUBSTITUTE(BCTaiSan_DTGTNN!E19,"'","\'"),"','TargetCode':''}")</f>
        <v>{'SheetId':'5dac4df2-8afc-4331-9387-253e943f465e','UId':'81319a4d-09f4-4bce-8b47-69c3cd432f18','Col':5,'Row':19,'Format':'numberic','Value':'','TargetCode':''}</v>
      </c>
    </row>
    <row r="661" ht="12.75">
      <c r="A661" t="str">
        <f>CONCATENATE("{'SheetId':'5dac4df2-8afc-4331-9387-253e943f465e'",",","'UId':'7f8791b0-0ec0-4449-8b90-31e7c49eddc7'",",'Col':",COLUMN(BCTaiSan_DTGTNN!F19),",'Row':",ROW(BCTaiSan_DTGTNN!F19),",","'Format':'numberic'",",'Value':'",SUBSTITUTE(BCTaiSan_DTGTNN!F19,"'","\'"),"','TargetCode':''}")</f>
        <v>{'SheetId':'5dac4df2-8afc-4331-9387-253e943f465e','UId':'7f8791b0-0ec0-4449-8b90-31e7c49eddc7','Col':6,'Row':19,'Format':'numberic','Value':'','TargetCode':''}</v>
      </c>
    </row>
    <row r="662" ht="12.75">
      <c r="A662" t="str">
        <f>CONCATENATE("{'SheetId':'5dac4df2-8afc-4331-9387-253e943f465e'",",","'UId':'b6633b5e-b92b-41f8-ad1f-a7ee9c3aeb3f'",",'Col':",COLUMN(BCTaiSan_DTGTNN!G19),",'Row':",ROW(BCTaiSan_DTGTNN!G19),",","'Format':'numberic'",",'Value':'",SUBSTITUTE(BCTaiSan_DTGTNN!G19,"'","\'"),"','TargetCode':''}")</f>
        <v>{'SheetId':'5dac4df2-8afc-4331-9387-253e943f465e','UId':'b6633b5e-b92b-41f8-ad1f-a7ee9c3aeb3f','Col':7,'Row':19,'Format':'numberic','Value':'','TargetCode':''}</v>
      </c>
    </row>
    <row r="663" ht="12.75">
      <c r="A663" t="str">
        <f>CONCATENATE("{'SheetId':'5dac4df2-8afc-4331-9387-253e943f465e'",",","'UId':'c37f6559-0961-4e81-886f-085a2e7d00bf'",",'Col':",COLUMN(BCTaiSan_DTGTNN!H19),",'Row':",ROW(BCTaiSan_DTGTNN!H19),",","'Format':'numberic'",",'Value':'",SUBSTITUTE(BCTaiSan_DTGTNN!H19,"'","\'"),"','TargetCode':''}")</f>
        <v>{'SheetId':'5dac4df2-8afc-4331-9387-253e943f465e','UId':'c37f6559-0961-4e81-886f-085a2e7d00bf','Col':8,'Row':19,'Format':'numberic','Value':'','TargetCode':''}</v>
      </c>
    </row>
    <row r="664" ht="12.75">
      <c r="A664" t="str">
        <f>CONCATENATE("{'SheetId':'cceb4b18-1016-4145-b78d-0b25812b389e'",",","'UId':'711aaf5f-68dc-4dfd-ac35-124a4ec17c34'",",'Col':",COLUMN(KetQuaHoatDong_DTGTNN!D3),",'Row':",ROW(KetQuaHoatDong_DTGTNN!D3),",","'Format':'numberic'",",'Value':'",SUBSTITUTE(KetQuaHoatDong_DTGTNN!D3,"'","\'"),"','TargetCode':''}")</f>
        <v>{'SheetId':'cceb4b18-1016-4145-b78d-0b25812b389e','UId':'711aaf5f-68dc-4dfd-ac35-124a4ec17c34','Col':4,'Row':3,'Format':'numberic','Value':'','TargetCode':''}</v>
      </c>
    </row>
    <row r="665" ht="12.75">
      <c r="A665" t="str">
        <f>CONCATENATE("{'SheetId':'cceb4b18-1016-4145-b78d-0b25812b389e'",",","'UId':'86beec05-f026-493a-bd65-4a47df7369cd'",",'Col':",COLUMN(KetQuaHoatDong_DTGTNN!E3),",'Row':",ROW(KetQuaHoatDong_DTGTNN!E3),",","'Format':'numberic'",",'Value':'",SUBSTITUTE(KetQuaHoatDong_DTGTNN!E3,"'","\'"),"','TargetCode':''}")</f>
        <v>{'SheetId':'cceb4b18-1016-4145-b78d-0b25812b389e','UId':'86beec05-f026-493a-bd65-4a47df7369cd','Col':5,'Row':3,'Format':'numberic','Value':'','TargetCode':''}</v>
      </c>
    </row>
    <row r="666" ht="12.75">
      <c r="A666" t="str">
        <f>CONCATENATE("{'SheetId':'cceb4b18-1016-4145-b78d-0b25812b389e'",",","'UId':'0145733c-8cb7-4a81-9e58-5b91ba785489'",",'Col':",COLUMN(KetQuaHoatDong_DTGTNN!F3),",'Row':",ROW(KetQuaHoatDong_DTGTNN!F3),",","'Format':'numberic'",",'Value':'",SUBSTITUTE(KetQuaHoatDong_DTGTNN!F3,"'","\'"),"','TargetCode':''}")</f>
        <v>{'SheetId':'cceb4b18-1016-4145-b78d-0b25812b389e','UId':'0145733c-8cb7-4a81-9e58-5b91ba785489','Col':6,'Row':3,'Format':'numberic','Value':'','TargetCode':''}</v>
      </c>
    </row>
    <row r="667" ht="12.75">
      <c r="A667" t="str">
        <f>CONCATENATE("{'SheetId':'cceb4b18-1016-4145-b78d-0b25812b389e'",",","'UId':'4f0463d0-b599-48f3-9a9c-98a143c3d346'",",'Col':",COLUMN(KetQuaHoatDong_DTGTNN!G3),",'Row':",ROW(KetQuaHoatDong_DTGTNN!G3),",","'Format':'numberic'",",'Value':'",SUBSTITUTE(KetQuaHoatDong_DTGTNN!G3,"'","\'"),"','TargetCode':''}")</f>
        <v>{'SheetId':'cceb4b18-1016-4145-b78d-0b25812b389e','UId':'4f0463d0-b599-48f3-9a9c-98a143c3d346','Col':7,'Row':3,'Format':'numberic','Value':'','TargetCode':''}</v>
      </c>
    </row>
    <row r="668" ht="12.75">
      <c r="A668" t="str">
        <f>CONCATENATE("{'SheetId':'cceb4b18-1016-4145-b78d-0b25812b389e'",",","'UId':'b5bd524e-c354-4534-8a3b-893123b5143a'",",'Col':",COLUMN(KetQuaHoatDong_DTGTNN!H3),",'Row':",ROW(KetQuaHoatDong_DTGTNN!H3),",","'Format':'numberic'",",'Value':'",SUBSTITUTE(KetQuaHoatDong_DTGTNN!H3,"'","\'"),"','TargetCode':''}")</f>
        <v>{'SheetId':'cceb4b18-1016-4145-b78d-0b25812b389e','UId':'b5bd524e-c354-4534-8a3b-893123b5143a','Col':8,'Row':3,'Format':'numberic','Value':'','TargetCode':''}</v>
      </c>
    </row>
    <row r="669" ht="12.75">
      <c r="A669" t="str">
        <f>CONCATENATE("{'SheetId':'cceb4b18-1016-4145-b78d-0b25812b389e'",",","'UId':'1b1a4fb5-4b4c-4f24-a3ab-e157e810fcd0'",",'Col':",COLUMN(KetQuaHoatDong_DTGTNN!D4),",'Row':",ROW(KetQuaHoatDong_DTGTNN!D4),",","'Format':'numberic'",",'Value':'",SUBSTITUTE(KetQuaHoatDong_DTGTNN!D4,"'","\'"),"','TargetCode':''}")</f>
        <v>{'SheetId':'cceb4b18-1016-4145-b78d-0b25812b389e','UId':'1b1a4fb5-4b4c-4f24-a3ab-e157e810fcd0','Col':4,'Row':4,'Format':'numberic','Value':'','TargetCode':''}</v>
      </c>
    </row>
    <row r="670" ht="12.75">
      <c r="A670" t="str">
        <f>CONCATENATE("{'SheetId':'cceb4b18-1016-4145-b78d-0b25812b389e'",",","'UId':'d88892f4-0c73-429d-bd4e-cb1625f765b3'",",'Col':",COLUMN(KetQuaHoatDong_DTGTNN!E4),",'Row':",ROW(KetQuaHoatDong_DTGTNN!E4),",","'Format':'numberic'",",'Value':'",SUBSTITUTE(KetQuaHoatDong_DTGTNN!E4,"'","\'"),"','TargetCode':''}")</f>
        <v>{'SheetId':'cceb4b18-1016-4145-b78d-0b25812b389e','UId':'d88892f4-0c73-429d-bd4e-cb1625f765b3','Col':5,'Row':4,'Format':'numberic','Value':'','TargetCode':''}</v>
      </c>
    </row>
    <row r="671" ht="12.75">
      <c r="A671" t="str">
        <f>CONCATENATE("{'SheetId':'cceb4b18-1016-4145-b78d-0b25812b389e'",",","'UId':'ac57f3f6-f8d9-4d03-a627-0fe3111d95cb'",",'Col':",COLUMN(KetQuaHoatDong_DTGTNN!F4),",'Row':",ROW(KetQuaHoatDong_DTGTNN!F4),",","'Format':'numberic'",",'Value':'",SUBSTITUTE(KetQuaHoatDong_DTGTNN!F4,"'","\'"),"','TargetCode':''}")</f>
        <v>{'SheetId':'cceb4b18-1016-4145-b78d-0b25812b389e','UId':'ac57f3f6-f8d9-4d03-a627-0fe3111d95cb','Col':6,'Row':4,'Format':'numberic','Value':'','TargetCode':''}</v>
      </c>
    </row>
    <row r="672" ht="12.75">
      <c r="A672" t="str">
        <f>CONCATENATE("{'SheetId':'cceb4b18-1016-4145-b78d-0b25812b389e'",",","'UId':'9eaac990-ef1c-40ff-8e4c-88e36cbba1c5'",",'Col':",COLUMN(KetQuaHoatDong_DTGTNN!G4),",'Row':",ROW(KetQuaHoatDong_DTGTNN!G4),",","'Format':'numberic'",",'Value':'",SUBSTITUTE(KetQuaHoatDong_DTGTNN!G4,"'","\'"),"','TargetCode':''}")</f>
        <v>{'SheetId':'cceb4b18-1016-4145-b78d-0b25812b389e','UId':'9eaac990-ef1c-40ff-8e4c-88e36cbba1c5','Col':7,'Row':4,'Format':'numberic','Value':'','TargetCode':''}</v>
      </c>
    </row>
    <row r="673" ht="12.75">
      <c r="A673" t="str">
        <f>CONCATENATE("{'SheetId':'cceb4b18-1016-4145-b78d-0b25812b389e'",",","'UId':'5b94ec44-ffd7-407d-a18b-f0e4e618caba'",",'Col':",COLUMN(KetQuaHoatDong_DTGTNN!H4),",'Row':",ROW(KetQuaHoatDong_DTGTNN!H4),",","'Format':'numberic'",",'Value':'",SUBSTITUTE(KetQuaHoatDong_DTGTNN!H4,"'","\'"),"','TargetCode':''}")</f>
        <v>{'SheetId':'cceb4b18-1016-4145-b78d-0b25812b389e','UId':'5b94ec44-ffd7-407d-a18b-f0e4e618caba','Col':8,'Row':4,'Format':'numberic','Value':'','TargetCode':''}</v>
      </c>
    </row>
    <row r="674" ht="12.75">
      <c r="A674" t="str">
        <f>CONCATENATE("{'SheetId':'cceb4b18-1016-4145-b78d-0b25812b389e'",",","'UId':'e8265c21-251e-4875-a8d1-43604b116a34'",",'Col':",COLUMN(KetQuaHoatDong_DTGTNN!D5),",'Row':",ROW(KetQuaHoatDong_DTGTNN!D5),",","'Format':'numberic'",",'Value':'",SUBSTITUTE(KetQuaHoatDong_DTGTNN!D5,"'","\'"),"','TargetCode':''}")</f>
        <v>{'SheetId':'cceb4b18-1016-4145-b78d-0b25812b389e','UId':'e8265c21-251e-4875-a8d1-43604b116a34','Col':4,'Row':5,'Format':'numberic','Value':'','TargetCode':''}</v>
      </c>
    </row>
    <row r="675" ht="12.75">
      <c r="A675" t="str">
        <f>CONCATENATE("{'SheetId':'cceb4b18-1016-4145-b78d-0b25812b389e'",",","'UId':'9f707e80-6b78-44f3-a3e2-85d265cbd2a4'",",'Col':",COLUMN(KetQuaHoatDong_DTGTNN!E5),",'Row':",ROW(KetQuaHoatDong_DTGTNN!E5),",","'Format':'numberic'",",'Value':'",SUBSTITUTE(KetQuaHoatDong_DTGTNN!E5,"'","\'"),"','TargetCode':''}")</f>
        <v>{'SheetId':'cceb4b18-1016-4145-b78d-0b25812b389e','UId':'9f707e80-6b78-44f3-a3e2-85d265cbd2a4','Col':5,'Row':5,'Format':'numberic','Value':'','TargetCode':''}</v>
      </c>
    </row>
    <row r="676" ht="12.75">
      <c r="A676" t="str">
        <f>CONCATENATE("{'SheetId':'cceb4b18-1016-4145-b78d-0b25812b389e'",",","'UId':'c1081c62-acd1-4644-b22d-39fdab7a2e63'",",'Col':",COLUMN(KetQuaHoatDong_DTGTNN!F5),",'Row':",ROW(KetQuaHoatDong_DTGTNN!F5),",","'Format':'numberic'",",'Value':'",SUBSTITUTE(KetQuaHoatDong_DTGTNN!F5,"'","\'"),"','TargetCode':''}")</f>
        <v>{'SheetId':'cceb4b18-1016-4145-b78d-0b25812b389e','UId':'c1081c62-acd1-4644-b22d-39fdab7a2e63','Col':6,'Row':5,'Format':'numberic','Value':'','TargetCode':''}</v>
      </c>
    </row>
    <row r="677" ht="12.75">
      <c r="A677" t="str">
        <f>CONCATENATE("{'SheetId':'cceb4b18-1016-4145-b78d-0b25812b389e'",",","'UId':'3e582d89-7235-4168-906d-6cd7ee7911fd'",",'Col':",COLUMN(KetQuaHoatDong_DTGTNN!G5),",'Row':",ROW(KetQuaHoatDong_DTGTNN!G5),",","'Format':'numberic'",",'Value':'",SUBSTITUTE(KetQuaHoatDong_DTGTNN!G5,"'","\'"),"','TargetCode':''}")</f>
        <v>{'SheetId':'cceb4b18-1016-4145-b78d-0b25812b389e','UId':'3e582d89-7235-4168-906d-6cd7ee7911fd','Col':7,'Row':5,'Format':'numberic','Value':'','TargetCode':''}</v>
      </c>
    </row>
    <row r="678" ht="12.75">
      <c r="A678" t="str">
        <f>CONCATENATE("{'SheetId':'cceb4b18-1016-4145-b78d-0b25812b389e'",",","'UId':'74a1724c-be7c-4893-ad3a-cea87f375b6e'",",'Col':",COLUMN(KetQuaHoatDong_DTGTNN!H5),",'Row':",ROW(KetQuaHoatDong_DTGTNN!H5),",","'Format':'numberic'",",'Value':'",SUBSTITUTE(KetQuaHoatDong_DTGTNN!H5,"'","\'"),"','TargetCode':''}")</f>
        <v>{'SheetId':'cceb4b18-1016-4145-b78d-0b25812b389e','UId':'74a1724c-be7c-4893-ad3a-cea87f375b6e','Col':8,'Row':5,'Format':'numberic','Value':'','TargetCode':''}</v>
      </c>
    </row>
    <row r="679" ht="12.75">
      <c r="A679" t="str">
        <f>CONCATENATE("{'SheetId':'cceb4b18-1016-4145-b78d-0b25812b389e'",",","'UId':'7fc9f6ef-3bf1-426c-8db2-a9b0bf702c9e'",",'Col':",COLUMN(KetQuaHoatDong_DTGTNN!D6),",'Row':",ROW(KetQuaHoatDong_DTGTNN!D6),",","'Format':'numberic'",",'Value':'",SUBSTITUTE(KetQuaHoatDong_DTGTNN!D6,"'","\'"),"','TargetCode':''}")</f>
        <v>{'SheetId':'cceb4b18-1016-4145-b78d-0b25812b389e','UId':'7fc9f6ef-3bf1-426c-8db2-a9b0bf702c9e','Col':4,'Row':6,'Format':'numberic','Value':'','TargetCode':''}</v>
      </c>
    </row>
    <row r="680" ht="12.75">
      <c r="A680" t="str">
        <f>CONCATENATE("{'SheetId':'cceb4b18-1016-4145-b78d-0b25812b389e'",",","'UId':'58a12e34-aca0-4da2-b2e6-0831c82faed9'",",'Col':",COLUMN(KetQuaHoatDong_DTGTNN!E6),",'Row':",ROW(KetQuaHoatDong_DTGTNN!E6),",","'Format':'numberic'",",'Value':'",SUBSTITUTE(KetQuaHoatDong_DTGTNN!E6,"'","\'"),"','TargetCode':''}")</f>
        <v>{'SheetId':'cceb4b18-1016-4145-b78d-0b25812b389e','UId':'58a12e34-aca0-4da2-b2e6-0831c82faed9','Col':5,'Row':6,'Format':'numberic','Value':'','TargetCode':''}</v>
      </c>
    </row>
    <row r="681" ht="12.75">
      <c r="A681" t="str">
        <f>CONCATENATE("{'SheetId':'cceb4b18-1016-4145-b78d-0b25812b389e'",",","'UId':'78e8ad1f-fa8c-41db-9982-a28a859bcb26'",",'Col':",COLUMN(KetQuaHoatDong_DTGTNN!F6),",'Row':",ROW(KetQuaHoatDong_DTGTNN!F6),",","'Format':'numberic'",",'Value':'",SUBSTITUTE(KetQuaHoatDong_DTGTNN!F6,"'","\'"),"','TargetCode':''}")</f>
        <v>{'SheetId':'cceb4b18-1016-4145-b78d-0b25812b389e','UId':'78e8ad1f-fa8c-41db-9982-a28a859bcb26','Col':6,'Row':6,'Format':'numberic','Value':'','TargetCode':''}</v>
      </c>
    </row>
    <row r="682" ht="12.75">
      <c r="A682" t="str">
        <f>CONCATENATE("{'SheetId':'cceb4b18-1016-4145-b78d-0b25812b389e'",",","'UId':'b04a3046-2f74-4765-af43-e26f61f5dc9c'",",'Col':",COLUMN(KetQuaHoatDong_DTGTNN!G6),",'Row':",ROW(KetQuaHoatDong_DTGTNN!G6),",","'Format':'numberic'",",'Value':'",SUBSTITUTE(KetQuaHoatDong_DTGTNN!G6,"'","\'"),"','TargetCode':''}")</f>
        <v>{'SheetId':'cceb4b18-1016-4145-b78d-0b25812b389e','UId':'b04a3046-2f74-4765-af43-e26f61f5dc9c','Col':7,'Row':6,'Format':'numberic','Value':'','TargetCode':''}</v>
      </c>
    </row>
    <row r="683" ht="12.75">
      <c r="A683" t="str">
        <f>CONCATENATE("{'SheetId':'cceb4b18-1016-4145-b78d-0b25812b389e'",",","'UId':'cd65e5ff-77bb-4152-9236-39f78e35c6cc'",",'Col':",COLUMN(KetQuaHoatDong_DTGTNN!H6),",'Row':",ROW(KetQuaHoatDong_DTGTNN!H6),",","'Format':'numberic'",",'Value':'",SUBSTITUTE(KetQuaHoatDong_DTGTNN!H6,"'","\'"),"','TargetCode':''}")</f>
        <v>{'SheetId':'cceb4b18-1016-4145-b78d-0b25812b389e','UId':'cd65e5ff-77bb-4152-9236-39f78e35c6cc','Col':8,'Row':6,'Format':'numberic','Value':'','TargetCode':''}</v>
      </c>
    </row>
    <row r="684" ht="12.75">
      <c r="A684" t="str">
        <f>CONCATENATE("{'SheetId':'cceb4b18-1016-4145-b78d-0b25812b389e'",",","'UId':'44c6966c-99f6-4661-ba34-2eb3f1758f86'",",'Col':",COLUMN(KetQuaHoatDong_DTGTNN!A8),",'Row':",ROW(KetQuaHoatDong_DTGTNN!A8),",","'ColDynamic':",COLUMN(KetQuaHoatDong_DTGTNN!A7),",","'RowDynamic':",ROW(KetQuaHoatDong_DTGTNN!A7),",","'Format':'string'",",'Value':'",SUBSTITUTE(KetQuaHoatDong_DTGTNN!A8,"'","\'"),"','TargetCode':''}")</f>
        <v>{'SheetId':'cceb4b18-1016-4145-b78d-0b25812b389e','UId':'44c6966c-99f6-4661-ba34-2eb3f1758f86','Col':1,'Row':8,'ColDynamic':1,'RowDynamic':7,'Format':'string','Value':'II','TargetCode':''}</v>
      </c>
    </row>
    <row r="685" ht="12.75">
      <c r="A685" t="str">
        <f>CONCATENATE("{'SheetId':'cceb4b18-1016-4145-b78d-0b25812b389e'",",","'UId':'983c8451-74ca-4015-80db-c3866694bb81'",",'Col':",COLUMN(KetQuaHoatDong_DTGTNN!B8),",'Row':",ROW(KetQuaHoatDong_DTGTNN!B8),",","'ColDynamic':",COLUMN(KetQuaHoatDong_DTGTNN!B7),",","'RowDynamic':",ROW(KetQuaHoatDong_DTGTNN!B7),",","'Format':'string'",",'Value':'",SUBSTITUTE(KetQuaHoatDong_DTGTNN!B8,"'","\'"),"','TargetCode':''}")</f>
        <v>{'SheetId':'cceb4b18-1016-4145-b78d-0b25812b389e','UId':'983c8451-74ca-4015-80db-c3866694bb81','Col':2,'Row':8,'ColDynamic':2,'RowDynamic':7,'Format':'string','Value':'Chi phí đầu tư gián tiếp ra nước ngoài','TargetCode':''}</v>
      </c>
    </row>
    <row r="686" ht="12.75">
      <c r="A686" t="str">
        <f>CONCATENATE("{'SheetId':'cceb4b18-1016-4145-b78d-0b25812b389e'",",","'UId':'107d5c00-8bc0-4734-b560-2b7949a8bc08'",",'Col':",COLUMN(KetQuaHoatDong_DTGTNN!C8),",'Row':",ROW(KetQuaHoatDong_DTGTNN!C8),",","'ColDynamic':",COLUMN(KetQuaHoatDong_DTGTNN!C7),",","'RowDynamic':",ROW(KetQuaHoatDong_DTGTNN!C7),",","'Format':'string'",",'Value':'",SUBSTITUTE(KetQuaHoatDong_DTGTNN!C8,"'","\'"),"','TargetCode':''}")</f>
        <v>{'SheetId':'cceb4b18-1016-4145-b78d-0b25812b389e','UId':'107d5c00-8bc0-4734-b560-2b7949a8bc08','Col':3,'Row':8,'ColDynamic':3,'RowDynamic':7,'Format':'string','Value':'2335','TargetCode':''}</v>
      </c>
    </row>
    <row r="687" ht="12.75">
      <c r="A687" t="str">
        <f>CONCATENATE("{'SheetId':'cceb4b18-1016-4145-b78d-0b25812b389e'",",","'UId':'008ba36e-282c-4d87-b647-f28179c33fa4'",",'Col':",COLUMN(KetQuaHoatDong_DTGTNN!D8),",'Row':",ROW(KetQuaHoatDong_DTGTNN!D8),",","'ColDynamic':",COLUMN(KetQuaHoatDong_DTGTNN!D7),",","'RowDynamic':",ROW(KetQuaHoatDong_DTGTNN!D7),",","'Format':'numberic'",",'Value':'",SUBSTITUTE(KetQuaHoatDong_DTGTNN!D8,"'","\'"),"','TargetCode':''}")</f>
        <v>{'SheetId':'cceb4b18-1016-4145-b78d-0b25812b389e','UId':'008ba36e-282c-4d87-b647-f28179c33fa4','Col':4,'Row':8,'ColDynamic':4,'RowDynamic':7,'Format':'numberic','Value':'','TargetCode':''}</v>
      </c>
    </row>
    <row r="688" ht="12.75">
      <c r="A688" t="str">
        <f>CONCATENATE("{'SheetId':'cceb4b18-1016-4145-b78d-0b25812b389e'",",","'UId':'7712a2d8-4d05-4c49-9644-9d1306648e42'",",'Col':",COLUMN(KetQuaHoatDong_DTGTNN!E8),",'Row':",ROW(KetQuaHoatDong_DTGTNN!E8),",","'ColDynamic':",COLUMN(KetQuaHoatDong_DTGTNN!E7),",","'RowDynamic':",ROW(KetQuaHoatDong_DTGTNN!E7),",","'Format':'numberic'",",'Value':'",SUBSTITUTE(KetQuaHoatDong_DTGTNN!E8,"'","\'"),"','TargetCode':''}")</f>
        <v>{'SheetId':'cceb4b18-1016-4145-b78d-0b25812b389e','UId':'7712a2d8-4d05-4c49-9644-9d1306648e42','Col':5,'Row':8,'ColDynamic':5,'RowDynamic':7,'Format':'numberic','Value':'','TargetCode':''}</v>
      </c>
    </row>
    <row r="689" ht="12.75">
      <c r="A689" t="str">
        <f>CONCATENATE("{'SheetId':'cceb4b18-1016-4145-b78d-0b25812b389e'",",","'UId':'5e191b33-c7c2-4cf8-8c9c-3e0143ea46be'",",'Col':",COLUMN(KetQuaHoatDong_DTGTNN!F8),",'Row':",ROW(KetQuaHoatDong_DTGTNN!F8),",","'ColDynamic':",COLUMN(KetQuaHoatDong_DTGTNN!F7),",","'RowDynamic':",ROW(KetQuaHoatDong_DTGTNN!F7),",","'Format':'numberic'",",'Value':'",SUBSTITUTE(KetQuaHoatDong_DTGTNN!F8,"'","\'"),"','TargetCode':''}")</f>
        <v>{'SheetId':'cceb4b18-1016-4145-b78d-0b25812b389e','UId':'5e191b33-c7c2-4cf8-8c9c-3e0143ea46be','Col':6,'Row':8,'ColDynamic':6,'RowDynamic':7,'Format':'numberic','Value':'','TargetCode':''}</v>
      </c>
    </row>
    <row r="690" ht="12.75">
      <c r="A690" t="str">
        <f>CONCATENATE("{'SheetId':'cceb4b18-1016-4145-b78d-0b25812b389e'",",","'UId':'d9e1f6fa-ee1c-4f32-8482-1e820a9a022b'",",'Col':",COLUMN(KetQuaHoatDong_DTGTNN!G8),",'Row':",ROW(KetQuaHoatDong_DTGTNN!G8),",","'ColDynamic':",COLUMN(KetQuaHoatDong_DTGTNN!G7),",","'RowDynamic':",ROW(KetQuaHoatDong_DTGTNN!G7),",","'Format':'numberic'",",'Value':'",SUBSTITUTE(KetQuaHoatDong_DTGTNN!G8,"'","\'"),"','TargetCode':''}")</f>
        <v>{'SheetId':'cceb4b18-1016-4145-b78d-0b25812b389e','UId':'d9e1f6fa-ee1c-4f32-8482-1e820a9a022b','Col':7,'Row':8,'ColDynamic':7,'RowDynamic':7,'Format':'numberic','Value':'','TargetCode':''}</v>
      </c>
    </row>
    <row r="691" ht="12.75">
      <c r="A691" t="str">
        <f>CONCATENATE("{'SheetId':'cceb4b18-1016-4145-b78d-0b25812b389e'",",","'UId':'1d67426b-e7d0-4445-95c1-d96935ac969d'",",'Col':",COLUMN(KetQuaHoatDong_DTGTNN!H8),",'Row':",ROW(KetQuaHoatDong_DTGTNN!H8),",","'ColDynamic':",COLUMN(KetQuaHoatDong_DTGTNN!H7),",","'RowDynamic':",ROW(KetQuaHoatDong_DTGTNN!H7),",","'Format':'numberic'",",'Value':'",SUBSTITUTE(KetQuaHoatDong_DTGTNN!H8,"'","\'"),"','TargetCode':''}")</f>
        <v>{'SheetId':'cceb4b18-1016-4145-b78d-0b25812b389e','UId':'1d67426b-e7d0-4445-95c1-d96935ac969d','Col':8,'Row':8,'ColDynamic':8,'RowDynamic':7,'Format':'numberic','Value':'','TargetCode':''}</v>
      </c>
    </row>
    <row r="692" ht="12.75">
      <c r="A692" t="str">
        <f>CONCATENATE("{'SheetId':'cceb4b18-1016-4145-b78d-0b25812b389e'",",","'UId':'67e31021-32ee-4be3-9b44-41c1e4d758e6'",",'Col':",COLUMN(KetQuaHoatDong_DTGTNN!D9),",'Row':",ROW(KetQuaHoatDong_DTGTNN!D9),",","'Format':'numberic'",",'Value':'",SUBSTITUTE(KetQuaHoatDong_DTGTNN!D9,"'","\'"),"','TargetCode':''}")</f>
        <v>{'SheetId':'cceb4b18-1016-4145-b78d-0b25812b389e','UId':'67e31021-32ee-4be3-9b44-41c1e4d758e6','Col':4,'Row':9,'Format':'numberic','Value':'','TargetCode':''}</v>
      </c>
    </row>
    <row r="693" ht="12.75">
      <c r="A693" t="str">
        <f>CONCATENATE("{'SheetId':'cceb4b18-1016-4145-b78d-0b25812b389e'",",","'UId':'133e785e-eef5-44df-aaac-e572b9b0723a'",",'Col':",COLUMN(KetQuaHoatDong_DTGTNN!E9),",'Row':",ROW(KetQuaHoatDong_DTGTNN!E9),",","'Format':'numberic'",",'Value':'",SUBSTITUTE(KetQuaHoatDong_DTGTNN!E9,"'","\'"),"','TargetCode':''}")</f>
        <v>{'SheetId':'cceb4b18-1016-4145-b78d-0b25812b389e','UId':'133e785e-eef5-44df-aaac-e572b9b0723a','Col':5,'Row':9,'Format':'numberic','Value':'','TargetCode':''}</v>
      </c>
    </row>
    <row r="694" ht="12.75">
      <c r="A694" t="str">
        <f>CONCATENATE("{'SheetId':'cceb4b18-1016-4145-b78d-0b25812b389e'",",","'UId':'59ec0deb-1702-4d55-823e-fd7e475f39cd'",",'Col':",COLUMN(KetQuaHoatDong_DTGTNN!F9),",'Row':",ROW(KetQuaHoatDong_DTGTNN!F9),",","'Format':'numberic'",",'Value':'",SUBSTITUTE(KetQuaHoatDong_DTGTNN!F9,"'","\'"),"','TargetCode':''}")</f>
        <v>{'SheetId':'cceb4b18-1016-4145-b78d-0b25812b389e','UId':'59ec0deb-1702-4d55-823e-fd7e475f39cd','Col':6,'Row':9,'Format':'numberic','Value':'','TargetCode':''}</v>
      </c>
    </row>
    <row r="695" ht="12.75">
      <c r="A695" t="str">
        <f>CONCATENATE("{'SheetId':'cceb4b18-1016-4145-b78d-0b25812b389e'",",","'UId':'152ed2ff-e520-464f-bc29-0d2f5eb41333'",",'Col':",COLUMN(KetQuaHoatDong_DTGTNN!G9),",'Row':",ROW(KetQuaHoatDong_DTGTNN!G9),",","'Format':'numberic'",",'Value':'",SUBSTITUTE(KetQuaHoatDong_DTGTNN!G9,"'","\'"),"','TargetCode':''}")</f>
        <v>{'SheetId':'cceb4b18-1016-4145-b78d-0b25812b389e','UId':'152ed2ff-e520-464f-bc29-0d2f5eb41333','Col':7,'Row':9,'Format':'numberic','Value':'','TargetCode':''}</v>
      </c>
    </row>
    <row r="696" ht="12.75">
      <c r="A696" t="str">
        <f>CONCATENATE("{'SheetId':'cceb4b18-1016-4145-b78d-0b25812b389e'",",","'UId':'1545c745-0e47-4712-b10b-a5c235108a63'",",'Col':",COLUMN(KetQuaHoatDong_DTGTNN!H9),",'Row':",ROW(KetQuaHoatDong_DTGTNN!H9),",","'Format':'numberic'",",'Value':'",SUBSTITUTE(KetQuaHoatDong_DTGTNN!H9,"'","\'"),"','TargetCode':''}")</f>
        <v>{'SheetId':'cceb4b18-1016-4145-b78d-0b25812b389e','UId':'1545c745-0e47-4712-b10b-a5c235108a63','Col':8,'Row':9,'Format':'numberic','Value':'','TargetCode':''}</v>
      </c>
    </row>
    <row r="697" ht="12.75">
      <c r="A697" t="str">
        <f>CONCATENATE("{'SheetId':'cceb4b18-1016-4145-b78d-0b25812b389e'",",","'UId':'28415630-222e-4ea9-bb64-1a5fe7b0c739'",",'Col':",COLUMN(KetQuaHoatDong_DTGTNN!D10),",'Row':",ROW(KetQuaHoatDong_DTGTNN!D10),",","'Format':'numberic'",",'Value':'",SUBSTITUTE(KetQuaHoatDong_DTGTNN!D10,"'","\'"),"','TargetCode':''}")</f>
        <v>{'SheetId':'cceb4b18-1016-4145-b78d-0b25812b389e','UId':'28415630-222e-4ea9-bb64-1a5fe7b0c739','Col':4,'Row':10,'Format':'numberic','Value':'','TargetCode':''}</v>
      </c>
    </row>
    <row r="698" ht="12.75">
      <c r="A698" t="str">
        <f>CONCATENATE("{'SheetId':'cceb4b18-1016-4145-b78d-0b25812b389e'",",","'UId':'f52adbd2-e2f5-4824-b474-532edf2a4a62'",",'Col':",COLUMN(KetQuaHoatDong_DTGTNN!E10),",'Row':",ROW(KetQuaHoatDong_DTGTNN!E10),",","'Format':'numberic'",",'Value':'",SUBSTITUTE(KetQuaHoatDong_DTGTNN!E10,"'","\'"),"','TargetCode':''}")</f>
        <v>{'SheetId':'cceb4b18-1016-4145-b78d-0b25812b389e','UId':'f52adbd2-e2f5-4824-b474-532edf2a4a62','Col':5,'Row':10,'Format':'numberic','Value':'','TargetCode':''}</v>
      </c>
    </row>
    <row r="699" ht="12.75">
      <c r="A699" t="str">
        <f>CONCATENATE("{'SheetId':'cceb4b18-1016-4145-b78d-0b25812b389e'",",","'UId':'ecfc36a2-b87f-4a08-ab4d-24d977234c3e'",",'Col':",COLUMN(KetQuaHoatDong_DTGTNN!F10),",'Row':",ROW(KetQuaHoatDong_DTGTNN!F10),",","'Format':'numberic'",",'Value':'",SUBSTITUTE(KetQuaHoatDong_DTGTNN!F10,"'","\'"),"','TargetCode':''}")</f>
        <v>{'SheetId':'cceb4b18-1016-4145-b78d-0b25812b389e','UId':'ecfc36a2-b87f-4a08-ab4d-24d977234c3e','Col':6,'Row':10,'Format':'numberic','Value':'','TargetCode':''}</v>
      </c>
    </row>
    <row r="700" ht="12.75">
      <c r="A700" t="str">
        <f>CONCATENATE("{'SheetId':'cceb4b18-1016-4145-b78d-0b25812b389e'",",","'UId':'85ca7ce3-b015-499b-8ed7-6dcf3f392155'",",'Col':",COLUMN(KetQuaHoatDong_DTGTNN!G10),",'Row':",ROW(KetQuaHoatDong_DTGTNN!G10),",","'Format':'numberic'",",'Value':'",SUBSTITUTE(KetQuaHoatDong_DTGTNN!G10,"'","\'"),"','TargetCode':''}")</f>
        <v>{'SheetId':'cceb4b18-1016-4145-b78d-0b25812b389e','UId':'85ca7ce3-b015-499b-8ed7-6dcf3f392155','Col':7,'Row':10,'Format':'numberic','Value':'','TargetCode':''}</v>
      </c>
    </row>
    <row r="701" ht="12.75">
      <c r="A701" t="str">
        <f>CONCATENATE("{'SheetId':'cceb4b18-1016-4145-b78d-0b25812b389e'",",","'UId':'2fbc63c6-d25b-4534-aafc-802b796b26d0'",",'Col':",COLUMN(KetQuaHoatDong_DTGTNN!H10),",'Row':",ROW(KetQuaHoatDong_DTGTNN!H10),",","'Format':'numberic'",",'Value':'",SUBSTITUTE(KetQuaHoatDong_DTGTNN!H10,"'","\'"),"','TargetCode':''}")</f>
        <v>{'SheetId':'cceb4b18-1016-4145-b78d-0b25812b389e','UId':'2fbc63c6-d25b-4534-aafc-802b796b26d0','Col':8,'Row':10,'Format':'numberic','Value':'','TargetCode':''}</v>
      </c>
    </row>
    <row r="702" ht="12.75">
      <c r="A702" t="str">
        <f>CONCATENATE("{'SheetId':'cceb4b18-1016-4145-b78d-0b25812b389e'",",","'UId':'16094e5e-b147-44ee-83c9-26cca76411f7'",",'Col':",COLUMN(KetQuaHoatDong_DTGTNN!A12),",'Row':",ROW(KetQuaHoatDong_DTGTNN!A12),",","'ColDynamic':",COLUMN(KetQuaHoatDong_DTGTNN!A11),",","'RowDynamic':",ROW(KetQuaHoatDong_DTGTNN!A11),",","'Format':'string'",",'Value':'",SUBSTITUTE(KetQuaHoatDong_DTGTNN!A12,"'","\'"),"','TargetCode':''}")</f>
        <v>{'SheetId':'cceb4b18-1016-4145-b78d-0b25812b389e','UId':'16094e5e-b147-44ee-83c9-26cca76411f7','Col':1,'Row':12,'ColDynamic':1,'RowDynamic':11,'Format':'string','Value':'III','TargetCode':''}</v>
      </c>
    </row>
    <row r="703" ht="12.75">
      <c r="A703" t="str">
        <f>CONCATENATE("{'SheetId':'cceb4b18-1016-4145-b78d-0b25812b389e'",",","'UId':'816a51ba-49ef-4a38-95b3-3b987a3bc395'",",'Col':",COLUMN(KetQuaHoatDong_DTGTNN!B12),",'Row':",ROW(KetQuaHoatDong_DTGTNN!B12),",","'ColDynamic':",COLUMN(KetQuaHoatDong_DTGTNN!B11),",","'RowDynamic':",ROW(KetQuaHoatDong_DTGTNN!B11),",","'Format':'string'",",'Value':'",SUBSTITUTE(KetQuaHoatDong_DTGTNN!B12,"'","\'"),"','TargetCode':''}")</f>
        <v>{'SheetId':'cceb4b18-1016-4145-b78d-0b25812b389e','UId':'816a51ba-49ef-4a38-95b3-3b987a3bc395','Col':2,'Row':12,'ColDynamic':2,'RowDynamic':11,'Format':'string','Value':'Thu nhập ròng từ hoạt động đầu tư gián tiếp ra nước ngoài (I-II)','TargetCode':''}</v>
      </c>
    </row>
    <row r="704" ht="12.75">
      <c r="A704" t="str">
        <f>CONCATENATE("{'SheetId':'cceb4b18-1016-4145-b78d-0b25812b389e'",",","'UId':'a79557c7-00a7-4bd2-b6ee-58dfa920ba86'",",'Col':",COLUMN(KetQuaHoatDong_DTGTNN!C12),",'Row':",ROW(KetQuaHoatDong_DTGTNN!C12),",","'ColDynamic':",COLUMN(KetQuaHoatDong_DTGTNN!C11),",","'RowDynamic':",ROW(KetQuaHoatDong_DTGTNN!C11),",","'Format':'string'",",'Value':'",SUBSTITUTE(KetQuaHoatDong_DTGTNN!C12,"'","\'"),"','TargetCode':''}")</f>
        <v>{'SheetId':'cceb4b18-1016-4145-b78d-0b25812b389e','UId':'a79557c7-00a7-4bd2-b6ee-58dfa920ba86','Col':3,'Row':12,'ColDynamic':3,'RowDynamic':11,'Format':'string','Value':'2338','TargetCode':''}</v>
      </c>
    </row>
    <row r="705" ht="12.75">
      <c r="A705" t="str">
        <f>CONCATENATE("{'SheetId':'cceb4b18-1016-4145-b78d-0b25812b389e'",",","'UId':'044624b8-be64-49fb-978d-c8a343ca95c9'",",'Col':",COLUMN(KetQuaHoatDong_DTGTNN!D12),",'Row':",ROW(KetQuaHoatDong_DTGTNN!D12),",","'ColDynamic':",COLUMN(KetQuaHoatDong_DTGTNN!D11),",","'RowDynamic':",ROW(KetQuaHoatDong_DTGTNN!D11),",","'Format':'numberic'",",'Value':'",SUBSTITUTE(KetQuaHoatDong_DTGTNN!D12,"'","\'"),"','TargetCode':''}")</f>
        <v>{'SheetId':'cceb4b18-1016-4145-b78d-0b25812b389e','UId':'044624b8-be64-49fb-978d-c8a343ca95c9','Col':4,'Row':12,'ColDynamic':4,'RowDynamic':11,'Format':'numberic','Value':'','TargetCode':''}</v>
      </c>
    </row>
    <row r="706" ht="12.75">
      <c r="A706" t="str">
        <f>CONCATENATE("{'SheetId':'cceb4b18-1016-4145-b78d-0b25812b389e'",",","'UId':'750d129b-ec5e-4238-bf8c-903e8c124941'",",'Col':",COLUMN(KetQuaHoatDong_DTGTNN!E12),",'Row':",ROW(KetQuaHoatDong_DTGTNN!E12),",","'ColDynamic':",COLUMN(KetQuaHoatDong_DTGTNN!E11),",","'RowDynamic':",ROW(KetQuaHoatDong_DTGTNN!E11),",","'Format':'numberic'",",'Value':'",SUBSTITUTE(KetQuaHoatDong_DTGTNN!E12,"'","\'"),"','TargetCode':''}")</f>
        <v>{'SheetId':'cceb4b18-1016-4145-b78d-0b25812b389e','UId':'750d129b-ec5e-4238-bf8c-903e8c124941','Col':5,'Row':12,'ColDynamic':5,'RowDynamic':11,'Format':'numberic','Value':'','TargetCode':''}</v>
      </c>
    </row>
    <row r="707" ht="12.75">
      <c r="A707" t="str">
        <f>CONCATENATE("{'SheetId':'cceb4b18-1016-4145-b78d-0b25812b389e'",",","'UId':'1cc59c4e-daa5-40e0-a94d-310b997e7d1c'",",'Col':",COLUMN(KetQuaHoatDong_DTGTNN!F12),",'Row':",ROW(KetQuaHoatDong_DTGTNN!F12),",","'ColDynamic':",COLUMN(KetQuaHoatDong_DTGTNN!F11),",","'RowDynamic':",ROW(KetQuaHoatDong_DTGTNN!F11),",","'Format':'numberic'",",'Value':'",SUBSTITUTE(KetQuaHoatDong_DTGTNN!F12,"'","\'"),"','TargetCode':''}")</f>
        <v>{'SheetId':'cceb4b18-1016-4145-b78d-0b25812b389e','UId':'1cc59c4e-daa5-40e0-a94d-310b997e7d1c','Col':6,'Row':12,'ColDynamic':6,'RowDynamic':11,'Format':'numberic','Value':'','TargetCode':''}</v>
      </c>
    </row>
    <row r="708" ht="12.75">
      <c r="A708" t="str">
        <f>CONCATENATE("{'SheetId':'cceb4b18-1016-4145-b78d-0b25812b389e'",",","'UId':'1badaab4-86c7-4bf5-b8bc-d7c172451cdc'",",'Col':",COLUMN(KetQuaHoatDong_DTGTNN!G12),",'Row':",ROW(KetQuaHoatDong_DTGTNN!G12),",","'ColDynamic':",COLUMN(KetQuaHoatDong_DTGTNN!G11),",","'RowDynamic':",ROW(KetQuaHoatDong_DTGTNN!G11),",","'Format':'numberic'",",'Value':'",SUBSTITUTE(KetQuaHoatDong_DTGTNN!G12,"'","\'"),"','TargetCode':''}")</f>
        <v>{'SheetId':'cceb4b18-1016-4145-b78d-0b25812b389e','UId':'1badaab4-86c7-4bf5-b8bc-d7c172451cdc','Col':7,'Row':12,'ColDynamic':7,'RowDynamic':11,'Format':'numberic','Value':'','TargetCode':''}</v>
      </c>
    </row>
    <row r="709" ht="12.75">
      <c r="A709" t="str">
        <f>CONCATENATE("{'SheetId':'cceb4b18-1016-4145-b78d-0b25812b389e'",",","'UId':'035c926a-f6d5-460c-992b-0ad1bc04dbdc'",",'Col':",COLUMN(KetQuaHoatDong_DTGTNN!H12),",'Row':",ROW(KetQuaHoatDong_DTGTNN!H12),",","'ColDynamic':",COLUMN(KetQuaHoatDong_DTGTNN!H11),",","'RowDynamic':",ROW(KetQuaHoatDong_DTGTNN!H11),",","'Format':'numberic'",",'Value':'",SUBSTITUTE(KetQuaHoatDong_DTGTNN!H12,"'","\'"),"','TargetCode':''}")</f>
        <v>{'SheetId':'cceb4b18-1016-4145-b78d-0b25812b389e','UId':'035c926a-f6d5-460c-992b-0ad1bc04dbdc','Col':8,'Row':12,'ColDynamic':8,'RowDynamic':11,'Format':'numberic','Value':'','TargetCode':''}</v>
      </c>
    </row>
    <row r="710" ht="12.75">
      <c r="A710" t="str">
        <f>CONCATENATE("{'SheetId':'cceb4b18-1016-4145-b78d-0b25812b389e'",",","'UId':'c4c9e6cf-1916-404f-8e7b-a456d405685d'",",'Col':",COLUMN(KetQuaHoatDong_DTGTNN!D13),",'Row':",ROW(KetQuaHoatDong_DTGTNN!D13),",","'Format':'numberic'",",'Value':'",SUBSTITUTE(KetQuaHoatDong_DTGTNN!D13,"'","\'"),"','TargetCode':''}")</f>
        <v>{'SheetId':'cceb4b18-1016-4145-b78d-0b25812b389e','UId':'c4c9e6cf-1916-404f-8e7b-a456d405685d','Col':4,'Row':13,'Format':'numberic','Value':'','TargetCode':''}</v>
      </c>
    </row>
    <row r="711" ht="12.75">
      <c r="A711" t="str">
        <f>CONCATENATE("{'SheetId':'cceb4b18-1016-4145-b78d-0b25812b389e'",",","'UId':'7ff141e9-bf07-4efe-ae30-10694b3c28ad'",",'Col':",COLUMN(KetQuaHoatDong_DTGTNN!E13),",'Row':",ROW(KetQuaHoatDong_DTGTNN!E13),",","'Format':'numberic'",",'Value':'",SUBSTITUTE(KetQuaHoatDong_DTGTNN!E13,"'","\'"),"','TargetCode':''}")</f>
        <v>{'SheetId':'cceb4b18-1016-4145-b78d-0b25812b389e','UId':'7ff141e9-bf07-4efe-ae30-10694b3c28ad','Col':5,'Row':13,'Format':'numberic','Value':'','TargetCode':''}</v>
      </c>
    </row>
    <row r="712" ht="12.75">
      <c r="A712" t="str">
        <f>CONCATENATE("{'SheetId':'cceb4b18-1016-4145-b78d-0b25812b389e'",",","'UId':'864fa5a0-665f-4812-b6fc-376b0469a0d1'",",'Col':",COLUMN(KetQuaHoatDong_DTGTNN!F13),",'Row':",ROW(KetQuaHoatDong_DTGTNN!F13),",","'Format':'numberic'",",'Value':'",SUBSTITUTE(KetQuaHoatDong_DTGTNN!F13,"'","\'"),"','TargetCode':''}")</f>
        <v>{'SheetId':'cceb4b18-1016-4145-b78d-0b25812b389e','UId':'864fa5a0-665f-4812-b6fc-376b0469a0d1','Col':6,'Row':13,'Format':'numberic','Value':'','TargetCode':''}</v>
      </c>
    </row>
    <row r="713" ht="12.75">
      <c r="A713" t="str">
        <f>CONCATENATE("{'SheetId':'cceb4b18-1016-4145-b78d-0b25812b389e'",",","'UId':'06b08f8d-2868-4149-a9f4-dd6868b65a4f'",",'Col':",COLUMN(KetQuaHoatDong_DTGTNN!G13),",'Row':",ROW(KetQuaHoatDong_DTGTNN!G13),",","'Format':'numberic'",",'Value':'",SUBSTITUTE(KetQuaHoatDong_DTGTNN!G13,"'","\'"),"','TargetCode':''}")</f>
        <v>{'SheetId':'cceb4b18-1016-4145-b78d-0b25812b389e','UId':'06b08f8d-2868-4149-a9f4-dd6868b65a4f','Col':7,'Row':13,'Format':'numberic','Value':'','TargetCode':''}</v>
      </c>
    </row>
    <row r="714" ht="12.75">
      <c r="A714" t="str">
        <f>CONCATENATE("{'SheetId':'cceb4b18-1016-4145-b78d-0b25812b389e'",",","'UId':'aad7bb0d-75bc-499a-a337-8f38e22d1a73'",",'Col':",COLUMN(KetQuaHoatDong_DTGTNN!H13),",'Row':",ROW(KetQuaHoatDong_DTGTNN!H13),",","'Format':'numberic'",",'Value':'",SUBSTITUTE(KetQuaHoatDong_DTGTNN!H13,"'","\'"),"','TargetCode':''}")</f>
        <v>{'SheetId':'cceb4b18-1016-4145-b78d-0b25812b389e','UId':'aad7bb0d-75bc-499a-a337-8f38e22d1a73','Col':8,'Row':13,'Format':'numberic','Value':'','TargetCode':''}</v>
      </c>
    </row>
    <row r="715" ht="12.75">
      <c r="A715" t="str">
        <f>CONCATENATE("{'SheetId':'cceb4b18-1016-4145-b78d-0b25812b389e'",",","'UId':'5b190748-0383-4aaa-ab43-f7868e10d83a'",",'Col':",COLUMN(KetQuaHoatDong_DTGTNN!D14),",'Row':",ROW(KetQuaHoatDong_DTGTNN!D14),",","'Format':'numberic'",",'Value':'",SUBSTITUTE(KetQuaHoatDong_DTGTNN!D14,"'","\'"),"','TargetCode':''}")</f>
        <v>{'SheetId':'cceb4b18-1016-4145-b78d-0b25812b389e','UId':'5b190748-0383-4aaa-ab43-f7868e10d83a','Col':4,'Row':14,'Format':'numberic','Value':'','TargetCode':''}</v>
      </c>
    </row>
    <row r="716" ht="12.75">
      <c r="A716" t="str">
        <f>CONCATENATE("{'SheetId':'cceb4b18-1016-4145-b78d-0b25812b389e'",",","'UId':'51f5d219-5335-42ce-b656-78558c1bd89d'",",'Col':",COLUMN(KetQuaHoatDong_DTGTNN!E14),",'Row':",ROW(KetQuaHoatDong_DTGTNN!E14),",","'Format':'numberic'",",'Value':'",SUBSTITUTE(KetQuaHoatDong_DTGTNN!E14,"'","\'"),"','TargetCode':''}")</f>
        <v>{'SheetId':'cceb4b18-1016-4145-b78d-0b25812b389e','UId':'51f5d219-5335-42ce-b656-78558c1bd89d','Col':5,'Row':14,'Format':'numberic','Value':'','TargetCode':''}</v>
      </c>
    </row>
    <row r="717" ht="12.75">
      <c r="A717" t="str">
        <f>CONCATENATE("{'SheetId':'cceb4b18-1016-4145-b78d-0b25812b389e'",",","'UId':'b55c110b-653a-4911-81f4-8ea3ee2c78fa'",",'Col':",COLUMN(KetQuaHoatDong_DTGTNN!F14),",'Row':",ROW(KetQuaHoatDong_DTGTNN!F14),",","'Format':'numberic'",",'Value':'",SUBSTITUTE(KetQuaHoatDong_DTGTNN!F14,"'","\'"),"','TargetCode':''}")</f>
        <v>{'SheetId':'cceb4b18-1016-4145-b78d-0b25812b389e','UId':'b55c110b-653a-4911-81f4-8ea3ee2c78fa','Col':6,'Row':14,'Format':'numberic','Value':'','TargetCode':''}</v>
      </c>
    </row>
    <row r="718" ht="12.75">
      <c r="A718" t="str">
        <f>CONCATENATE("{'SheetId':'cceb4b18-1016-4145-b78d-0b25812b389e'",",","'UId':'85ae0ea5-88c9-4ed8-abc4-34b06a940438'",",'Col':",COLUMN(KetQuaHoatDong_DTGTNN!G14),",'Row':",ROW(KetQuaHoatDong_DTGTNN!G14),",","'Format':'numberic'",",'Value':'",SUBSTITUTE(KetQuaHoatDong_DTGTNN!G14,"'","\'"),"','TargetCode':''}")</f>
        <v>{'SheetId':'cceb4b18-1016-4145-b78d-0b25812b389e','UId':'85ae0ea5-88c9-4ed8-abc4-34b06a940438','Col':7,'Row':14,'Format':'numberic','Value':'','TargetCode':''}</v>
      </c>
    </row>
    <row r="719" ht="12.75">
      <c r="A719" t="str">
        <f>CONCATENATE("{'SheetId':'cceb4b18-1016-4145-b78d-0b25812b389e'",",","'UId':'8e312f38-dc09-4191-b825-837bfddf0760'",",'Col':",COLUMN(KetQuaHoatDong_DTGTNN!H14),",'Row':",ROW(KetQuaHoatDong_DTGTNN!H14),",","'Format':'numberic'",",'Value':'",SUBSTITUTE(KetQuaHoatDong_DTGTNN!H14,"'","\'"),"','TargetCode':''}")</f>
        <v>{'SheetId':'cceb4b18-1016-4145-b78d-0b25812b389e','UId':'8e312f38-dc09-4191-b825-837bfddf0760','Col':8,'Row':14,'Format':'numberic','Value':'','TargetCode':''}</v>
      </c>
    </row>
    <row r="720" ht="12.75">
      <c r="A720" t="str">
        <f>CONCATENATE("{'SheetId':'cceb4b18-1016-4145-b78d-0b25812b389e'",",","'UId':'bb2d5579-7c22-4292-ab25-78c86ac966aa'",",'Col':",COLUMN(KetQuaHoatDong_DTGTNN!D15),",'Row':",ROW(KetQuaHoatDong_DTGTNN!D15),",","'Format':'numberic'",",'Value':'",SUBSTITUTE(KetQuaHoatDong_DTGTNN!D15,"'","\'"),"','TargetCode':''}")</f>
        <v>{'SheetId':'cceb4b18-1016-4145-b78d-0b25812b389e','UId':'bb2d5579-7c22-4292-ab25-78c86ac966aa','Col':4,'Row':15,'Format':'numberic','Value':'','TargetCode':''}</v>
      </c>
    </row>
    <row r="721" ht="12.75">
      <c r="A721" t="str">
        <f>CONCATENATE("{'SheetId':'cceb4b18-1016-4145-b78d-0b25812b389e'",",","'UId':'e73cfc08-61d8-41cc-aaf4-610229387a16'",",'Col':",COLUMN(KetQuaHoatDong_DTGTNN!E15),",'Row':",ROW(KetQuaHoatDong_DTGTNN!E15),",","'Format':'numberic'",",'Value':'",SUBSTITUTE(KetQuaHoatDong_DTGTNN!E15,"'","\'"),"','TargetCode':''}")</f>
        <v>{'SheetId':'cceb4b18-1016-4145-b78d-0b25812b389e','UId':'e73cfc08-61d8-41cc-aaf4-610229387a16','Col':5,'Row':15,'Format':'numberic','Value':'','TargetCode':''}</v>
      </c>
    </row>
    <row r="722" ht="12.75">
      <c r="A722" t="str">
        <f>CONCATENATE("{'SheetId':'cceb4b18-1016-4145-b78d-0b25812b389e'",",","'UId':'df5c1101-586c-4c59-b7ed-13926c0db935'",",'Col':",COLUMN(KetQuaHoatDong_DTGTNN!F15),",'Row':",ROW(KetQuaHoatDong_DTGTNN!F15),",","'Format':'numberic'",",'Value':'",SUBSTITUTE(KetQuaHoatDong_DTGTNN!F15,"'","\'"),"','TargetCode':''}")</f>
        <v>{'SheetId':'cceb4b18-1016-4145-b78d-0b25812b389e','UId':'df5c1101-586c-4c59-b7ed-13926c0db935','Col':6,'Row':15,'Format':'numberic','Value':'','TargetCode':''}</v>
      </c>
    </row>
    <row r="723" ht="12.75">
      <c r="A723" t="str">
        <f>CONCATENATE("{'SheetId':'cceb4b18-1016-4145-b78d-0b25812b389e'",",","'UId':'d9494d1f-9088-49ab-9710-d2d38c4d4714'",",'Col':",COLUMN(KetQuaHoatDong_DTGTNN!G15),",'Row':",ROW(KetQuaHoatDong_DTGTNN!G15),",","'Format':'numberic'",",'Value':'",SUBSTITUTE(KetQuaHoatDong_DTGTNN!G15,"'","\'"),"','TargetCode':''}")</f>
        <v>{'SheetId':'cceb4b18-1016-4145-b78d-0b25812b389e','UId':'d9494d1f-9088-49ab-9710-d2d38c4d4714','Col':7,'Row':15,'Format':'numberic','Value':'','TargetCode':''}</v>
      </c>
    </row>
    <row r="724" ht="12.75">
      <c r="A724" t="str">
        <f>CONCATENATE("{'SheetId':'cceb4b18-1016-4145-b78d-0b25812b389e'",",","'UId':'4adc3867-a9ed-4d3d-8d6c-ec961da30a10'",",'Col':",COLUMN(KetQuaHoatDong_DTGTNN!H15),",'Row':",ROW(KetQuaHoatDong_DTGTNN!H15),",","'Format':'numberic'",",'Value':'",SUBSTITUTE(KetQuaHoatDong_DTGTNN!H15,"'","\'"),"','TargetCode':''}")</f>
        <v>{'SheetId':'cceb4b18-1016-4145-b78d-0b25812b389e','UId':'4adc3867-a9ed-4d3d-8d6c-ec961da30a10','Col':8,'Row':15,'Format':'numberic','Value':'','TargetCode':''}</v>
      </c>
    </row>
    <row r="725" ht="12.75">
      <c r="A725" t="str">
        <f>CONCATENATE("{'SheetId':'c9ace950-f402-4172-a63a-0897d6b51dcc'",",","'UId':'5dd1651f-dd01-422d-9ffd-8ac8631a8012'",",'Col':",COLUMN(DanhMucTaiSan_DTGTNN!D3),",'Row':",ROW(DanhMucTaiSan_DTGTNN!D3),",","'Format':'numberic'",",'Value':'",SUBSTITUTE(DanhMucTaiSan_DTGTNN!D3,"'","\'"),"','TargetCode':''}")</f>
        <v>{'SheetId':'c9ace950-f402-4172-a63a-0897d6b51dcc','UId':'5dd1651f-dd01-422d-9ffd-8ac8631a8012','Col':4,'Row':3,'Format':'numberic','Value':'','TargetCode':''}</v>
      </c>
    </row>
    <row r="726" ht="12.75">
      <c r="A726" t="str">
        <f>CONCATENATE("{'SheetId':'c9ace950-f402-4172-a63a-0897d6b51dcc'",",","'UId':'01cfdffa-e36a-45e4-a318-8062b1891e0a'",",'Col':",COLUMN(DanhMucTaiSan_DTGTNN!E3),",'Row':",ROW(DanhMucTaiSan_DTGTNN!E3),",","'Format':'numberic'",",'Value':'",SUBSTITUTE(DanhMucTaiSan_DTGTNN!E3,"'","\'"),"','TargetCode':''}")</f>
        <v>{'SheetId':'c9ace950-f402-4172-a63a-0897d6b51dcc','UId':'01cfdffa-e36a-45e4-a318-8062b1891e0a','Col':5,'Row':3,'Format':'numberic','Value':'','TargetCode':''}</v>
      </c>
    </row>
    <row r="727" ht="12.75">
      <c r="A727" t="str">
        <f>CONCATENATE("{'SheetId':'c9ace950-f402-4172-a63a-0897d6b51dcc'",",","'UId':'dbe40fce-d99a-42be-8158-73481dacd52a'",",'Col':",COLUMN(DanhMucTaiSan_DTGTNN!F3),",'Row':",ROW(DanhMucTaiSan_DTGTNN!F3),",","'Format':'numberic'",",'Value':'",SUBSTITUTE(DanhMucTaiSan_DTGTNN!F3,"'","\'"),"','TargetCode':''}")</f>
        <v>{'SheetId':'c9ace950-f402-4172-a63a-0897d6b51dcc','UId':'dbe40fce-d99a-42be-8158-73481dacd52a','Col':6,'Row':3,'Format':'numberic','Value':'','TargetCode':''}</v>
      </c>
    </row>
    <row r="728" ht="12.75">
      <c r="A728" t="str">
        <f>CONCATENATE("{'SheetId':'c9ace950-f402-4172-a63a-0897d6b51dcc'",",","'UId':'aca18c22-ef90-47c0-83bb-ee2762bcf7b7'",",'Col':",COLUMN(DanhMucTaiSan_DTGTNN!G3),",'Row':",ROW(DanhMucTaiSan_DTGTNN!G3),",","'Format':'numberic'",",'Value':'",SUBSTITUTE(DanhMucTaiSan_DTGTNN!G3,"'","\'"),"','TargetCode':''}")</f>
        <v>{'SheetId':'c9ace950-f402-4172-a63a-0897d6b51dcc','UId':'aca18c22-ef90-47c0-83bb-ee2762bcf7b7','Col':7,'Row':3,'Format':'numberic','Value':'','TargetCode':''}</v>
      </c>
    </row>
    <row r="729" ht="12.75">
      <c r="A729" t="str">
        <f>CONCATENATE("{'SheetId':'c9ace950-f402-4172-a63a-0897d6b51dcc'",",","'UId':'847b465f-ec87-49e5-950c-4edbcf66d119'",",'Col':",COLUMN(DanhMucTaiSan_DTGTNN!H3),",'Row':",ROW(DanhMucTaiSan_DTGTNN!H3),",","'Format':'numberic'",",'Value':'",SUBSTITUTE(DanhMucTaiSan_DTGTNN!H3,"'","\'"),"','TargetCode':''}")</f>
        <v>{'SheetId':'c9ace950-f402-4172-a63a-0897d6b51dcc','UId':'847b465f-ec87-49e5-950c-4edbcf66d119','Col':8,'Row':3,'Format':'numberic','Value':'','TargetCode':''}</v>
      </c>
    </row>
    <row r="730" ht="12.75">
      <c r="A730" t="str">
        <f>CONCATENATE("{'SheetId':'c9ace950-f402-4172-a63a-0897d6b51dcc'",",","'UId':'73e9a978-67b8-4ee3-b525-7cd6de756881'",",'Col':",COLUMN(DanhMucTaiSan_DTGTNN!I3),",'Row':",ROW(DanhMucTaiSan_DTGTNN!I3),",","'Format':'numberic'",",'Value':'",SUBSTITUTE(DanhMucTaiSan_DTGTNN!I3,"'","\'"),"','TargetCode':''}")</f>
        <v>{'SheetId':'c9ace950-f402-4172-a63a-0897d6b51dcc','UId':'73e9a978-67b8-4ee3-b525-7cd6de756881','Col':9,'Row':3,'Format':'numberic','Value':'','TargetCode':''}</v>
      </c>
    </row>
    <row r="731" ht="12.75">
      <c r="A731" t="str">
        <f>CONCATENATE("{'SheetId':'c9ace950-f402-4172-a63a-0897d6b51dcc'",",","'UId':'9e401c5c-9746-4ea8-b233-451b854c2410'",",'Col':",COLUMN(DanhMucTaiSan_DTGTNN!A5),",'Row':",ROW(DanhMucTaiSan_DTGTNN!A5),",","'ColDynamic':",COLUMN(DanhMucTaiSan_DTGTNN!A4),",","'RowDynamic':",ROW(DanhMucTaiSan_DTGTNN!A4),",","'Format':'string'",",'Value':'",SUBSTITUTE(DanhMucTaiSan_DTGTNN!A5,"'","\'"),"','TargetCode':''}")</f>
        <v>{'SheetId':'c9ace950-f402-4172-a63a-0897d6b51dcc','UId':'9e401c5c-9746-4ea8-b233-451b854c2410','Col':1,'Row':5,'ColDynamic':1,'RowDynamic':4,'Format':'string','Value':'','TargetCode':''}</v>
      </c>
    </row>
    <row r="732" ht="12.75">
      <c r="A732" t="str">
        <f>CONCATENATE("{'SheetId':'c9ace950-f402-4172-a63a-0897d6b51dcc'",",","'UId':'0510ce00-08ab-48a8-b284-518b52970367'",",'Col':",COLUMN(DanhMucTaiSan_DTGTNN!B5),",'Row':",ROW(DanhMucTaiSan_DTGTNN!B5),",","'ColDynamic':",COLUMN(DanhMucTaiSan_DTGTNN!B4),",","'RowDynamic':",ROW(DanhMucTaiSan_DTGTNN!B4),",","'Format':'string'",",'Value':'",SUBSTITUTE(DanhMucTaiSan_DTGTNN!B5,"'","\'"),"','TargetCode':''}")</f>
        <v>{'SheetId':'c9ace950-f402-4172-a63a-0897d6b51dcc','UId':'0510ce00-08ab-48a8-b284-518b52970367','Col':2,'Row':5,'ColDynamic':2,'RowDynamic':4,'Format':'string','Value':'Tổng','TargetCode':''}</v>
      </c>
    </row>
    <row r="733" ht="12.75">
      <c r="A733" t="str">
        <f>CONCATENATE("{'SheetId':'c9ace950-f402-4172-a63a-0897d6b51dcc'",",","'UId':'4f65ecdd-831a-43f5-a521-2d3ff81da0db'",",'Col':",COLUMN(DanhMucTaiSan_DTGTNN!C5),",'Row':",ROW(DanhMucTaiSan_DTGTNN!C5),",","'ColDynamic':",COLUMN(DanhMucTaiSan_DTGTNN!C4),",","'RowDynamic':",ROW(DanhMucTaiSan_DTGTNN!C4),",","'Format':'string'",",'Value':'",SUBSTITUTE(DanhMucTaiSan_DTGTNN!C5,"'","\'"),"','TargetCode':''}")</f>
        <v>{'SheetId':'c9ace950-f402-4172-a63a-0897d6b51dcc','UId':'4f65ecdd-831a-43f5-a521-2d3ff81da0db','Col':3,'Row':5,'ColDynamic':3,'RowDynamic':4,'Format':'string','Value':'2342','TargetCode':''}</v>
      </c>
    </row>
    <row r="734" ht="12.75">
      <c r="A734" t="str">
        <f>CONCATENATE("{'SheetId':'c9ace950-f402-4172-a63a-0897d6b51dcc'",",","'UId':'5ac3e36d-b72d-49a7-9b6c-f234119d6207'",",'Col':",COLUMN(DanhMucTaiSan_DTGTNN!D5),",'Row':",ROW(DanhMucTaiSan_DTGTNN!D5),",","'ColDynamic':",COLUMN(DanhMucTaiSan_DTGTNN!C4),",","'RowDynamic':",ROW(DanhMucTaiSan_DTGTNN!C4),",","'Format':'numberic'",",'Value':'",SUBSTITUTE(DanhMucTaiSan_DTGTNN!D5,"'","\'"),"','TargetCode':''}")</f>
        <v>{'SheetId':'c9ace950-f402-4172-a63a-0897d6b51dcc','UId':'5ac3e36d-b72d-49a7-9b6c-f234119d6207','Col':4,'Row':5,'ColDynamic':3,'RowDynamic':4,'Format':'numberic','Value':'','TargetCode':''}</v>
      </c>
    </row>
    <row r="735" ht="12.75">
      <c r="A735" t="str">
        <f>CONCATENATE("{'SheetId':'c9ace950-f402-4172-a63a-0897d6b51dcc'",",","'UId':'d0103815-875c-4291-94ba-7af408da6100'",",'Col':",COLUMN(DanhMucTaiSan_DTGTNN!E5),",'Row':",ROW(DanhMucTaiSan_DTGTNN!E5),",","'ColDynamic':",COLUMN(DanhMucTaiSan_DTGTNN!D4),",","'RowDynamic':",ROW(DanhMucTaiSan_DTGTNN!D4),",","'Format':'numberic'",",'Value':'",SUBSTITUTE(DanhMucTaiSan_DTGTNN!E5,"'","\'"),"','TargetCode':''}")</f>
        <v>{'SheetId':'c9ace950-f402-4172-a63a-0897d6b51dcc','UId':'d0103815-875c-4291-94ba-7af408da6100','Col':5,'Row':5,'ColDynamic':4,'RowDynamic':4,'Format':'numberic','Value':'','TargetCode':''}</v>
      </c>
    </row>
    <row r="736" ht="12.75">
      <c r="A736" t="str">
        <f>CONCATENATE("{'SheetId':'c9ace950-f402-4172-a63a-0897d6b51dcc'",",","'UId':'64957711-1d73-4e4a-9e67-202dfec7cb4b'",",'Col':",COLUMN(DanhMucTaiSan_DTGTNN!F5),",'Row':",ROW(DanhMucTaiSan_DTGTNN!F5),",","'ColDynamic':",COLUMN(DanhMucTaiSan_DTGTNN!E4),",","'RowDynamic':",ROW(DanhMucTaiSan_DTGTNN!E4),",","'Format':'numberic'",",'Value':'",SUBSTITUTE(DanhMucTaiSan_DTGTNN!F5,"'","\'"),"','TargetCode':''}")</f>
        <v>{'SheetId':'c9ace950-f402-4172-a63a-0897d6b51dcc','UId':'64957711-1d73-4e4a-9e67-202dfec7cb4b','Col':6,'Row':5,'ColDynamic':5,'RowDynamic':4,'Format':'numberic','Value':'','TargetCode':''}</v>
      </c>
    </row>
    <row r="737" ht="12.75">
      <c r="A737" t="str">
        <f>CONCATENATE("{'SheetId':'c9ace950-f402-4172-a63a-0897d6b51dcc'",",","'UId':'cae17f1e-ef71-4df6-8436-8e7b09de8b1a'",",'Col':",COLUMN(DanhMucTaiSan_DTGTNN!G5),",'Row':",ROW(DanhMucTaiSan_DTGTNN!G5),",","'ColDynamic':",COLUMN(DanhMucTaiSan_DTGTNN!F4),",","'RowDynamic':",ROW(DanhMucTaiSan_DTGTNN!F4),",","'Format':'numberic'",",'Value':'",SUBSTITUTE(DanhMucTaiSan_DTGTNN!G5,"'","\'"),"','TargetCode':''}")</f>
        <v>{'SheetId':'c9ace950-f402-4172-a63a-0897d6b51dcc','UId':'cae17f1e-ef71-4df6-8436-8e7b09de8b1a','Col':7,'Row':5,'ColDynamic':6,'RowDynamic':4,'Format':'numberic','Value':'','TargetCode':''}</v>
      </c>
    </row>
    <row r="738" ht="12.75">
      <c r="A738" t="str">
        <f>CONCATENATE("{'SheetId':'c9ace950-f402-4172-a63a-0897d6b51dcc'",",","'UId':'4a89b027-8aba-4efb-b25c-1554837781be'",",'Col':",COLUMN(DanhMucTaiSan_DTGTNN!H5),",'Row':",ROW(DanhMucTaiSan_DTGTNN!H5),",","'ColDynamic':",COLUMN(DanhMucTaiSan_DTGTNN!G4),",","'RowDynamic':",ROW(DanhMucTaiSan_DTGTNN!G4),",","'Format':'numberic'",",'Value':'",SUBSTITUTE(DanhMucTaiSan_DTGTNN!H5,"'","\'"),"','TargetCode':''}")</f>
        <v>{'SheetId':'c9ace950-f402-4172-a63a-0897d6b51dcc','UId':'4a89b027-8aba-4efb-b25c-1554837781be','Col':8,'Row':5,'ColDynamic':7,'RowDynamic':4,'Format':'numberic','Value':'','TargetCode':''}</v>
      </c>
    </row>
    <row r="739" ht="12.75">
      <c r="A739" t="str">
        <f>CONCATENATE("{'SheetId':'c9ace950-f402-4172-a63a-0897d6b51dcc'",",","'UId':'e967ee3b-c883-48c0-b81d-74dfe32839ea'",",'Col':",COLUMN(DanhMucTaiSan_DTGTNN!I5),",'Row':",ROW(DanhMucTaiSan_DTGTNN!I5),",","'ColDynamic':",COLUMN(DanhMucTaiSan_DTGTNN!H4),",","'RowDynamic':",ROW(DanhMucTaiSan_DTGTNN!H4),",","'Format':'numberic'",",'Value':'",SUBSTITUTE(DanhMucTaiSan_DTGTNN!I5,"'","\'"),"','TargetCode':''}")</f>
        <v>{'SheetId':'c9ace950-f402-4172-a63a-0897d6b51dcc','UId':'e967ee3b-c883-48c0-b81d-74dfe32839ea','Col':9,'Row':5,'ColDynamic':8,'RowDynamic':4,'Format':'numberic','Value':'','TargetCode':''}</v>
      </c>
    </row>
    <row r="740" ht="12.75">
      <c r="A740" t="str">
        <f>CONCATENATE("{'SheetId':'c9ace950-f402-4172-a63a-0897d6b51dcc'",",","'UId':'63f2d188-3011-4389-9079-c27b76fdeb67'",",'Col':",COLUMN(DanhMucTaiSan_DTGTNN!D6),",'Row':",ROW(DanhMucTaiSan_DTGTNN!D6),",","'Format':'numberic'",",'Value':'",SUBSTITUTE(DanhMucTaiSan_DTGTNN!D6,"'","\'"),"','TargetCode':''}")</f>
        <v>{'SheetId':'c9ace950-f402-4172-a63a-0897d6b51dcc','UId':'63f2d188-3011-4389-9079-c27b76fdeb67','Col':4,'Row':6,'Format':'numberic','Value':'','TargetCode':''}</v>
      </c>
    </row>
    <row r="741" ht="12.75">
      <c r="A741" t="str">
        <f>CONCATENATE("{'SheetId':'c9ace950-f402-4172-a63a-0897d6b51dcc'",",","'UId':'f9cc4f05-ea67-48be-ae3e-26bed95207cd'",",'Col':",COLUMN(DanhMucTaiSan_DTGTNN!E6),",'Row':",ROW(DanhMucTaiSan_DTGTNN!E6),",","'Format':'numberic'",",'Value':'",SUBSTITUTE(DanhMucTaiSan_DTGTNN!E6,"'","\'"),"','TargetCode':''}")</f>
        <v>{'SheetId':'c9ace950-f402-4172-a63a-0897d6b51dcc','UId':'f9cc4f05-ea67-48be-ae3e-26bed95207cd','Col':5,'Row':6,'Format':'numberic','Value':'','TargetCode':''}</v>
      </c>
    </row>
    <row r="742" ht="12.75">
      <c r="A742" t="str">
        <f>CONCATENATE("{'SheetId':'c9ace950-f402-4172-a63a-0897d6b51dcc'",",","'UId':'63f54fa6-89c8-40c5-92e0-8970765ce04e'",",'Col':",COLUMN(DanhMucTaiSan_DTGTNN!F6),",'Row':",ROW(DanhMucTaiSan_DTGTNN!F6),",","'Format':'numberic'",",'Value':'",SUBSTITUTE(DanhMucTaiSan_DTGTNN!F6,"'","\'"),"','TargetCode':''}")</f>
        <v>{'SheetId':'c9ace950-f402-4172-a63a-0897d6b51dcc','UId':'63f54fa6-89c8-40c5-92e0-8970765ce04e','Col':6,'Row':6,'Format':'numberic','Value':'','TargetCode':''}</v>
      </c>
    </row>
    <row r="743" ht="12.75">
      <c r="A743" t="str">
        <f>CONCATENATE("{'SheetId':'c9ace950-f402-4172-a63a-0897d6b51dcc'",",","'UId':'020b5b50-9af8-4722-8af4-0afcb9468473'",",'Col':",COLUMN(DanhMucTaiSan_DTGTNN!G6),",'Row':",ROW(DanhMucTaiSan_DTGTNN!G6),",","'Format':'numberic'",",'Value':'",SUBSTITUTE(DanhMucTaiSan_DTGTNN!G6,"'","\'"),"','TargetCode':''}")</f>
        <v>{'SheetId':'c9ace950-f402-4172-a63a-0897d6b51dcc','UId':'020b5b50-9af8-4722-8af4-0afcb9468473','Col':7,'Row':6,'Format':'numberic','Value':'','TargetCode':''}</v>
      </c>
    </row>
    <row r="744" ht="12.75">
      <c r="A744" t="str">
        <f>CONCATENATE("{'SheetId':'c9ace950-f402-4172-a63a-0897d6b51dcc'",",","'UId':'89fa2f35-9b35-4d9d-b9e6-85e0aa0e9de1'",",'Col':",COLUMN(DanhMucTaiSan_DTGTNN!H6),",'Row':",ROW(DanhMucTaiSan_DTGTNN!H6),",","'Format':'numberic'",",'Value':'",SUBSTITUTE(DanhMucTaiSan_DTGTNN!H6,"'","\'"),"','TargetCode':''}")</f>
        <v>{'SheetId':'c9ace950-f402-4172-a63a-0897d6b51dcc','UId':'89fa2f35-9b35-4d9d-b9e6-85e0aa0e9de1','Col':8,'Row':6,'Format':'numberic','Value':'','TargetCode':''}</v>
      </c>
    </row>
    <row r="745" ht="12.75">
      <c r="A745" t="str">
        <f>CONCATENATE("{'SheetId':'c9ace950-f402-4172-a63a-0897d6b51dcc'",",","'UId':'b9f0487e-e9ea-4fd9-8341-f1ad03104707'",",'Col':",COLUMN(DanhMucTaiSan_DTGTNN!I6),",'Row':",ROW(DanhMucTaiSan_DTGTNN!I6),",","'Format':'numberic'",",'Value':'",SUBSTITUTE(DanhMucTaiSan_DTGTNN!I6,"'","\'"),"','TargetCode':''}")</f>
        <v>{'SheetId':'c9ace950-f402-4172-a63a-0897d6b51dcc','UId':'b9f0487e-e9ea-4fd9-8341-f1ad03104707','Col':9,'Row':6,'Format':'numberic','Value':'','TargetCode':''}</v>
      </c>
    </row>
    <row r="746" ht="12.75">
      <c r="A746" t="str">
        <f>CONCATENATE("{'SheetId':'c9ace950-f402-4172-a63a-0897d6b51dcc'",",","'UId':'40bde4ac-a453-41e7-b9a6-96c1aecd7626'",",'Col':",COLUMN(DanhMucTaiSan_DTGTNN!A8),",'Row':",ROW(DanhMucTaiSan_DTGTNN!A8),",","'ColDynamic':",COLUMN(DanhMucTaiSan_DTGTNN!A7),",","'RowDynamic':",ROW(DanhMucTaiSan_DTGTNN!A7),",","'Format':'string'",",'Value':'",SUBSTITUTE(DanhMucTaiSan_DTGTNN!A8,"'","\'"),"','TargetCode':''}")</f>
        <v>{'SheetId':'c9ace950-f402-4172-a63a-0897d6b51dcc','UId':'40bde4ac-a453-41e7-b9a6-96c1aecd7626','Col':1,'Row':8,'ColDynamic':1,'RowDynamic':7,'Format':'string','Value':'','TargetCode':''}</v>
      </c>
    </row>
    <row r="747" ht="12.75">
      <c r="A747" t="str">
        <f>CONCATENATE("{'SheetId':'c9ace950-f402-4172-a63a-0897d6b51dcc'",",","'UId':'d72ff4ce-1f57-46b8-962f-2d5cd2ca52ea'",",'Col':",COLUMN(DanhMucTaiSan_DTGTNN!B8),",'Row':",ROW(DanhMucTaiSan_DTGTNN!B8),",","'ColDynamic':",COLUMN(DanhMucTaiSan_DTGTNN!B7),",","'RowDynamic':",ROW(DanhMucTaiSan_DTGTNN!B7),",","'Format':'string'",",'Value':'",SUBSTITUTE(DanhMucTaiSan_DTGTNN!B8,"'","\'"),"','TargetCode':''}")</f>
        <v>{'SheetId':'c9ace950-f402-4172-a63a-0897d6b51dcc','UId':'d72ff4ce-1f57-46b8-962f-2d5cd2ca52ea','Col':2,'Row':8,'ColDynamic':2,'RowDynamic':7,'Format':'string','Value':'Tổng','TargetCode':''}</v>
      </c>
    </row>
    <row r="748" ht="12.75">
      <c r="A748" t="str">
        <f>CONCATENATE("{'SheetId':'c9ace950-f402-4172-a63a-0897d6b51dcc'",",","'UId':'721edbde-3540-4666-b7ec-2f4050094162'",",'Col':",COLUMN(DanhMucTaiSan_DTGTNN!C8),",'Row':",ROW(DanhMucTaiSan_DTGTNN!C8),",","'ColDynamic':",COLUMN(DanhMucTaiSan_DTGTNN!C7),",","'RowDynamic':",ROW(DanhMucTaiSan_DTGTNN!C7),",","'Format':'string'",",'Value':'",SUBSTITUTE(DanhMucTaiSan_DTGTNN!C8,"'","\'"),"','TargetCode':''}")</f>
        <v>{'SheetId':'c9ace950-f402-4172-a63a-0897d6b51dcc','UId':'721edbde-3540-4666-b7ec-2f4050094162','Col':3,'Row':8,'ColDynamic':3,'RowDynamic':7,'Format':'string','Value':'2344','TargetCode':''}</v>
      </c>
    </row>
    <row r="749" ht="12.75">
      <c r="A749" t="str">
        <f>CONCATENATE("{'SheetId':'c9ace950-f402-4172-a63a-0897d6b51dcc'",",","'UId':'9f1e176b-4576-4b63-b831-7948e8fb1315'",",'Col':",COLUMN(DanhMucTaiSan_DTGTNN!D8),",'Row':",ROW(DanhMucTaiSan_DTGTNN!D8),",","'ColDynamic':",COLUMN(DanhMucTaiSan_DTGTNN!C7),",","'RowDynamic':",ROW(DanhMucTaiSan_DTGTNN!C7),",","'Format':'numberic'",",'Value':'",SUBSTITUTE(DanhMucTaiSan_DTGTNN!D8,"'","\'"),"','TargetCode':''}")</f>
        <v>{'SheetId':'c9ace950-f402-4172-a63a-0897d6b51dcc','UId':'9f1e176b-4576-4b63-b831-7948e8fb1315','Col':4,'Row':8,'ColDynamic':3,'RowDynamic':7,'Format':'numberic','Value':'','TargetCode':''}</v>
      </c>
    </row>
    <row r="750" ht="12.75">
      <c r="A750" t="str">
        <f>CONCATENATE("{'SheetId':'c9ace950-f402-4172-a63a-0897d6b51dcc'",",","'UId':'f23fe546-8aba-4224-940e-1c21813406bd'",",'Col':",COLUMN(DanhMucTaiSan_DTGTNN!E8),",'Row':",ROW(DanhMucTaiSan_DTGTNN!E8),",","'ColDynamic':",COLUMN(DanhMucTaiSan_DTGTNN!D7),",","'RowDynamic':",ROW(DanhMucTaiSan_DTGTNN!D7),",","'Format':'numberic'",",'Value':'",SUBSTITUTE(DanhMucTaiSan_DTGTNN!E8,"'","\'"),"','TargetCode':''}")</f>
        <v>{'SheetId':'c9ace950-f402-4172-a63a-0897d6b51dcc','UId':'f23fe546-8aba-4224-940e-1c21813406bd','Col':5,'Row':8,'ColDynamic':4,'RowDynamic':7,'Format':'numberic','Value':'','TargetCode':''}</v>
      </c>
    </row>
    <row r="751" ht="12.75">
      <c r="A751" t="str">
        <f>CONCATENATE("{'SheetId':'c9ace950-f402-4172-a63a-0897d6b51dcc'",",","'UId':'62ff2b71-7d8b-4f91-b96f-ac1a542f950e'",",'Col':",COLUMN(DanhMucTaiSan_DTGTNN!F8),",'Row':",ROW(DanhMucTaiSan_DTGTNN!F8),",","'ColDynamic':",COLUMN(DanhMucTaiSan_DTGTNN!E7),",","'RowDynamic':",ROW(DanhMucTaiSan_DTGTNN!E7),",","'Format':'numberic'",",'Value':'",SUBSTITUTE(DanhMucTaiSan_DTGTNN!F8,"'","\'"),"','TargetCode':''}")</f>
        <v>{'SheetId':'c9ace950-f402-4172-a63a-0897d6b51dcc','UId':'62ff2b71-7d8b-4f91-b96f-ac1a542f950e','Col':6,'Row':8,'ColDynamic':5,'RowDynamic':7,'Format':'numberic','Value':'','TargetCode':''}</v>
      </c>
    </row>
    <row r="752" ht="12.75">
      <c r="A752" t="str">
        <f>CONCATENATE("{'SheetId':'c9ace950-f402-4172-a63a-0897d6b51dcc'",",","'UId':'9a441d2b-18ca-4397-9ffa-cb3b97c6cbeb'",",'Col':",COLUMN(DanhMucTaiSan_DTGTNN!G8),",'Row':",ROW(DanhMucTaiSan_DTGTNN!G8),",","'ColDynamic':",COLUMN(DanhMucTaiSan_DTGTNN!F7),",","'RowDynamic':",ROW(DanhMucTaiSan_DTGTNN!F7),",","'Format':'numberic'",",'Value':'",SUBSTITUTE(DanhMucTaiSan_DTGTNN!G8,"'","\'"),"','TargetCode':''}")</f>
        <v>{'SheetId':'c9ace950-f402-4172-a63a-0897d6b51dcc','UId':'9a441d2b-18ca-4397-9ffa-cb3b97c6cbeb','Col':7,'Row':8,'ColDynamic':6,'RowDynamic':7,'Format':'numberic','Value':'','TargetCode':''}</v>
      </c>
    </row>
    <row r="753" ht="12.75">
      <c r="A753" t="str">
        <f>CONCATENATE("{'SheetId':'c9ace950-f402-4172-a63a-0897d6b51dcc'",",","'UId':'f932ee10-0eb8-4324-b877-a7b8f457db05'",",'Col':",COLUMN(DanhMucTaiSan_DTGTNN!H8),",'Row':",ROW(DanhMucTaiSan_DTGTNN!H8),",","'ColDynamic':",COLUMN(DanhMucTaiSan_DTGTNN!G7),",","'RowDynamic':",ROW(DanhMucTaiSan_DTGTNN!G7),",","'Format':'numberic'",",'Value':'",SUBSTITUTE(DanhMucTaiSan_DTGTNN!H8,"'","\'"),"','TargetCode':''}")</f>
        <v>{'SheetId':'c9ace950-f402-4172-a63a-0897d6b51dcc','UId':'f932ee10-0eb8-4324-b877-a7b8f457db05','Col':8,'Row':8,'ColDynamic':7,'RowDynamic':7,'Format':'numberic','Value':'','TargetCode':''}</v>
      </c>
    </row>
    <row r="754" ht="12.75">
      <c r="A754" t="str">
        <f>CONCATENATE("{'SheetId':'c9ace950-f402-4172-a63a-0897d6b51dcc'",",","'UId':'8c3e3cc2-6ab7-4a84-815f-d02c933cabcf'",",'Col':",COLUMN(DanhMucTaiSan_DTGTNN!I8),",'Row':",ROW(DanhMucTaiSan_DTGTNN!I8),",","'ColDynamic':",COLUMN(DanhMucTaiSan_DTGTNN!H7),",","'RowDynamic':",ROW(DanhMucTaiSan_DTGTNN!H7),",","'Format':'numberic'",",'Value':'",SUBSTITUTE(DanhMucTaiSan_DTGTNN!I8,"'","\'"),"','TargetCode':''}")</f>
        <v>{'SheetId':'c9ace950-f402-4172-a63a-0897d6b51dcc','UId':'8c3e3cc2-6ab7-4a84-815f-d02c933cabcf','Col':9,'Row':8,'ColDynamic':8,'RowDynamic':7,'Format':'numberic','Value':'','TargetCode':''}</v>
      </c>
    </row>
    <row r="755" ht="12.75">
      <c r="A755" t="str">
        <f>CONCATENATE("{'SheetId':'c9ace950-f402-4172-a63a-0897d6b51dcc'",",","'UId':'1ebba42a-f161-4ffd-a7b2-2f63eb20dd24'",",'Col':",COLUMN(DanhMucTaiSan_DTGTNN!D9),",'Row':",ROW(DanhMucTaiSan_DTGTNN!D9),",","'Format':'numberic'",",'Value':'",SUBSTITUTE(DanhMucTaiSan_DTGTNN!D9,"'","\'"),"','TargetCode':''}")</f>
        <v>{'SheetId':'c9ace950-f402-4172-a63a-0897d6b51dcc','UId':'1ebba42a-f161-4ffd-a7b2-2f63eb20dd24','Col':4,'Row':9,'Format':'numberic','Value':'','TargetCode':''}</v>
      </c>
    </row>
    <row r="756" ht="12.75">
      <c r="A756" t="str">
        <f>CONCATENATE("{'SheetId':'c9ace950-f402-4172-a63a-0897d6b51dcc'",",","'UId':'c1f20027-47e6-4f40-8fca-b0b13702616a'",",'Col':",COLUMN(DanhMucTaiSan_DTGTNN!E9),",'Row':",ROW(DanhMucTaiSan_DTGTNN!E9),",","'Format':'numberic'",",'Value':'",SUBSTITUTE(DanhMucTaiSan_DTGTNN!E9,"'","\'"),"','TargetCode':''}")</f>
        <v>{'SheetId':'c9ace950-f402-4172-a63a-0897d6b51dcc','UId':'c1f20027-47e6-4f40-8fca-b0b13702616a','Col':5,'Row':9,'Format':'numberic','Value':'','TargetCode':''}</v>
      </c>
    </row>
    <row r="757" ht="12.75">
      <c r="A757" t="str">
        <f>CONCATENATE("{'SheetId':'c9ace950-f402-4172-a63a-0897d6b51dcc'",",","'UId':'edc566d8-9214-43ea-ab21-46d72bce25a1'",",'Col':",COLUMN(DanhMucTaiSan_DTGTNN!F9),",'Row':",ROW(DanhMucTaiSan_DTGTNN!F9),",","'Format':'numberic'",",'Value':'",SUBSTITUTE(DanhMucTaiSan_DTGTNN!F9,"'","\'"),"','TargetCode':''}")</f>
        <v>{'SheetId':'c9ace950-f402-4172-a63a-0897d6b51dcc','UId':'edc566d8-9214-43ea-ab21-46d72bce25a1','Col':6,'Row':9,'Format':'numberic','Value':'','TargetCode':''}</v>
      </c>
    </row>
    <row r="758" ht="12.75">
      <c r="A758" t="str">
        <f>CONCATENATE("{'SheetId':'c9ace950-f402-4172-a63a-0897d6b51dcc'",",","'UId':'add25976-08af-4ae3-b3cf-f05b96e5ed95'",",'Col':",COLUMN(DanhMucTaiSan_DTGTNN!G9),",'Row':",ROW(DanhMucTaiSan_DTGTNN!G9),",","'Format':'numberic'",",'Value':'",SUBSTITUTE(DanhMucTaiSan_DTGTNN!G9,"'","\'"),"','TargetCode':''}")</f>
        <v>{'SheetId':'c9ace950-f402-4172-a63a-0897d6b51dcc','UId':'add25976-08af-4ae3-b3cf-f05b96e5ed95','Col':7,'Row':9,'Format':'numberic','Value':'','TargetCode':''}</v>
      </c>
    </row>
    <row r="759" ht="12.75">
      <c r="A759" t="str">
        <f>CONCATENATE("{'SheetId':'c9ace950-f402-4172-a63a-0897d6b51dcc'",",","'UId':'799a24ff-9e1d-4e6d-bf03-05228a8c0db7'",",'Col':",COLUMN(DanhMucTaiSan_DTGTNN!H9),",'Row':",ROW(DanhMucTaiSan_DTGTNN!H9),",","'Format':'numberic'",",'Value':'",SUBSTITUTE(DanhMucTaiSan_DTGTNN!H9,"'","\'"),"','TargetCode':''}")</f>
        <v>{'SheetId':'c9ace950-f402-4172-a63a-0897d6b51dcc','UId':'799a24ff-9e1d-4e6d-bf03-05228a8c0db7','Col':8,'Row':9,'Format':'numberic','Value':'','TargetCode':''}</v>
      </c>
    </row>
    <row r="760" ht="12.75">
      <c r="A760" t="str">
        <f>CONCATENATE("{'SheetId':'c9ace950-f402-4172-a63a-0897d6b51dcc'",",","'UId':'e0343067-b136-42d1-8d39-f04dcacca8b1'",",'Col':",COLUMN(DanhMucTaiSan_DTGTNN!I9),",'Row':",ROW(DanhMucTaiSan_DTGTNN!I9),",","'Format':'numberic'",",'Value':'",SUBSTITUTE(DanhMucTaiSan_DTGTNN!I9,"'","\'"),"','TargetCode':''}")</f>
        <v>{'SheetId':'c9ace950-f402-4172-a63a-0897d6b51dcc','UId':'e0343067-b136-42d1-8d39-f04dcacca8b1','Col':9,'Row':9,'Format':'numberic','Value':'','TargetCode':''}</v>
      </c>
    </row>
    <row r="761" ht="12.75">
      <c r="A761" t="str">
        <f>CONCATENATE("{'SheetId':'c9ace950-f402-4172-a63a-0897d6b51dcc'",",","'UId':'968e82b0-a3a8-4431-a73a-b9d820a37a0c'",",'Col':",COLUMN(DanhMucTaiSan_DTGTNN!A11),",'Row':",ROW(DanhMucTaiSan_DTGTNN!A11),",","'ColDynamic':",COLUMN(DanhMucTaiSan_DTGTNN!A10),",","'RowDynamic':",ROW(DanhMucTaiSan_DTGTNN!A10),",","'Format':'string'",",'Value':'",SUBSTITUTE(DanhMucTaiSan_DTGTNN!A11,"'","\'"),"','TargetCode':''}")</f>
        <v>{'SheetId':'c9ace950-f402-4172-a63a-0897d6b51dcc','UId':'968e82b0-a3a8-4431-a73a-b9d820a37a0c','Col':1,'Row':11,'ColDynamic':1,'RowDynamic':10,'Format':'string','Value':'','TargetCode':''}</v>
      </c>
    </row>
    <row r="762" ht="12.75">
      <c r="A762" t="str">
        <f>CONCATENATE("{'SheetId':'c9ace950-f402-4172-a63a-0897d6b51dcc'",",","'UId':'066b9346-7077-4277-986f-9b0d615ae682'",",'Col':",COLUMN(DanhMucTaiSan_DTGTNN!B11),",'Row':",ROW(DanhMucTaiSan_DTGTNN!B11),",","'ColDynamic':",COLUMN(DanhMucTaiSan_DTGTNN!B10),",","'RowDynamic':",ROW(DanhMucTaiSan_DTGTNN!B10),",","'Format':'string'",",'Value':'",SUBSTITUTE(DanhMucTaiSan_DTGTNN!B11,"'","\'"),"','TargetCode':''}")</f>
        <v>{'SheetId':'c9ace950-f402-4172-a63a-0897d6b51dcc','UId':'066b9346-7077-4277-986f-9b0d615ae682','Col':2,'Row':11,'ColDynamic':2,'RowDynamic':10,'Format':'string','Value':'Tổng','TargetCode':''}</v>
      </c>
    </row>
    <row r="763" ht="12.75">
      <c r="A763" t="str">
        <f>CONCATENATE("{'SheetId':'c9ace950-f402-4172-a63a-0897d6b51dcc'",",","'UId':'1617d946-535c-4b9b-ba57-fd7009d9b2ce'",",'Col':",COLUMN(DanhMucTaiSan_DTGTNN!C11),",'Row':",ROW(DanhMucTaiSan_DTGTNN!C11),",","'ColDynamic':",COLUMN(DanhMucTaiSan_DTGTNN!C10),",","'RowDynamic':",ROW(DanhMucTaiSan_DTGTNN!C10),",","'Format':'string'",",'Value':'",SUBSTITUTE(DanhMucTaiSan_DTGTNN!C11,"'","\'"),"','TargetCode':''}")</f>
        <v>{'SheetId':'c9ace950-f402-4172-a63a-0897d6b51dcc','UId':'1617d946-535c-4b9b-ba57-fd7009d9b2ce','Col':3,'Row':11,'ColDynamic':3,'RowDynamic':10,'Format':'string','Value':'2346','TargetCode':''}</v>
      </c>
    </row>
    <row r="764" ht="12.75">
      <c r="A764" t="str">
        <f>CONCATENATE("{'SheetId':'c9ace950-f402-4172-a63a-0897d6b51dcc'",",","'UId':'1a8cb3cf-0297-46c2-b753-cd4baa34528c'",",'Col':",COLUMN(DanhMucTaiSan_DTGTNN!D11),",'Row':",ROW(DanhMucTaiSan_DTGTNN!D11),",","'ColDynamic':",COLUMN(DanhMucTaiSan_DTGTNN!C10),",","'RowDynamic':",ROW(DanhMucTaiSan_DTGTNN!C10),",","'Format':'numberic'",",'Value':'",SUBSTITUTE(DanhMucTaiSan_DTGTNN!D11,"'","\'"),"','TargetCode':''}")</f>
        <v>{'SheetId':'c9ace950-f402-4172-a63a-0897d6b51dcc','UId':'1a8cb3cf-0297-46c2-b753-cd4baa34528c','Col':4,'Row':11,'ColDynamic':3,'RowDynamic':10,'Format':'numberic','Value':'','TargetCode':''}</v>
      </c>
    </row>
    <row r="765" ht="12.75">
      <c r="A765" t="str">
        <f>CONCATENATE("{'SheetId':'c9ace950-f402-4172-a63a-0897d6b51dcc'",",","'UId':'edf0c07f-ee62-41c3-9ce7-a9a3b34e2a4d'",",'Col':",COLUMN(DanhMucTaiSan_DTGTNN!E11),",'Row':",ROW(DanhMucTaiSan_DTGTNN!E11),",","'ColDynamic':",COLUMN(DanhMucTaiSan_DTGTNN!D10),",","'RowDynamic':",ROW(DanhMucTaiSan_DTGTNN!D10),",","'Format':'numberic'",",'Value':'",SUBSTITUTE(DanhMucTaiSan_DTGTNN!E11,"'","\'"),"','TargetCode':''}")</f>
        <v>{'SheetId':'c9ace950-f402-4172-a63a-0897d6b51dcc','UId':'edf0c07f-ee62-41c3-9ce7-a9a3b34e2a4d','Col':5,'Row':11,'ColDynamic':4,'RowDynamic':10,'Format':'numberic','Value':'','TargetCode':''}</v>
      </c>
    </row>
    <row r="766" ht="12.75">
      <c r="A766" t="str">
        <f>CONCATENATE("{'SheetId':'c9ace950-f402-4172-a63a-0897d6b51dcc'",",","'UId':'34718a0a-1c8b-49f5-b544-3f0a0ba81519'",",'Col':",COLUMN(DanhMucTaiSan_DTGTNN!F11),",'Row':",ROW(DanhMucTaiSan_DTGTNN!F11),",","'ColDynamic':",COLUMN(DanhMucTaiSan_DTGTNN!E10),",","'RowDynamic':",ROW(DanhMucTaiSan_DTGTNN!E10),",","'Format':'numberic'",",'Value':'",SUBSTITUTE(DanhMucTaiSan_DTGTNN!F11,"'","\'"),"','TargetCode':''}")</f>
        <v>{'SheetId':'c9ace950-f402-4172-a63a-0897d6b51dcc','UId':'34718a0a-1c8b-49f5-b544-3f0a0ba81519','Col':6,'Row':11,'ColDynamic':5,'RowDynamic':10,'Format':'numberic','Value':'','TargetCode':''}</v>
      </c>
    </row>
    <row r="767" ht="12.75">
      <c r="A767" t="str">
        <f>CONCATENATE("{'SheetId':'c9ace950-f402-4172-a63a-0897d6b51dcc'",",","'UId':'a075c1a4-3c02-4abb-8099-14cf8fcfabb9'",",'Col':",COLUMN(DanhMucTaiSan_DTGTNN!G11),",'Row':",ROW(DanhMucTaiSan_DTGTNN!G11),",","'ColDynamic':",COLUMN(DanhMucTaiSan_DTGTNN!F10),",","'RowDynamic':",ROW(DanhMucTaiSan_DTGTNN!F10),",","'Format':'numberic'",",'Value':'",SUBSTITUTE(DanhMucTaiSan_DTGTNN!G11,"'","\'"),"','TargetCode':''}")</f>
        <v>{'SheetId':'c9ace950-f402-4172-a63a-0897d6b51dcc','UId':'a075c1a4-3c02-4abb-8099-14cf8fcfabb9','Col':7,'Row':11,'ColDynamic':6,'RowDynamic':10,'Format':'numberic','Value':'','TargetCode':''}</v>
      </c>
    </row>
    <row r="768" ht="12.75">
      <c r="A768" t="str">
        <f>CONCATENATE("{'SheetId':'c9ace950-f402-4172-a63a-0897d6b51dcc'",",","'UId':'ebb87795-23d6-4990-aa94-0bfd9186ca36'",",'Col':",COLUMN(DanhMucTaiSan_DTGTNN!H11),",'Row':",ROW(DanhMucTaiSan_DTGTNN!H11),",","'ColDynamic':",COLUMN(DanhMucTaiSan_DTGTNN!G10),",","'RowDynamic':",ROW(DanhMucTaiSan_DTGTNN!G10),",","'Format':'numberic'",",'Value':'",SUBSTITUTE(DanhMucTaiSan_DTGTNN!H11,"'","\'"),"','TargetCode':''}")</f>
        <v>{'SheetId':'c9ace950-f402-4172-a63a-0897d6b51dcc','UId':'ebb87795-23d6-4990-aa94-0bfd9186ca36','Col':8,'Row':11,'ColDynamic':7,'RowDynamic':10,'Format':'numberic','Value':'','TargetCode':''}</v>
      </c>
    </row>
    <row r="769" ht="12.75">
      <c r="A769" t="str">
        <f>CONCATENATE("{'SheetId':'c9ace950-f402-4172-a63a-0897d6b51dcc'",",","'UId':'fd0d3c17-a768-4928-bb48-c3b137553d12'",",'Col':",COLUMN(DanhMucTaiSan_DTGTNN!I11),",'Row':",ROW(DanhMucTaiSan_DTGTNN!I11),",","'ColDynamic':",COLUMN(DanhMucTaiSan_DTGTNN!H10),",","'RowDynamic':",ROW(DanhMucTaiSan_DTGTNN!H10),",","'Format':'numberic'",",'Value':'",SUBSTITUTE(DanhMucTaiSan_DTGTNN!I11,"'","\'"),"','TargetCode':''}")</f>
        <v>{'SheetId':'c9ace950-f402-4172-a63a-0897d6b51dcc','UId':'fd0d3c17-a768-4928-bb48-c3b137553d12','Col':9,'Row':11,'ColDynamic':8,'RowDynamic':10,'Format':'numberic','Value':'','TargetCode':''}</v>
      </c>
    </row>
    <row r="770" ht="12.75">
      <c r="A770" t="str">
        <f>CONCATENATE("{'SheetId':'c9ace950-f402-4172-a63a-0897d6b51dcc'",",","'UId':'10bfeee5-f73f-45b2-8935-4a834a6911a2'",",'Col':",COLUMN(DanhMucTaiSan_DTGTNN!D12),",'Row':",ROW(DanhMucTaiSan_DTGTNN!D12),",","'Format':'numberic'",",'Value':'",SUBSTITUTE(DanhMucTaiSan_DTGTNN!D12,"'","\'"),"','TargetCode':''}")</f>
        <v>{'SheetId':'c9ace950-f402-4172-a63a-0897d6b51dcc','UId':'10bfeee5-f73f-45b2-8935-4a834a6911a2','Col':4,'Row':12,'Format':'numberic','Value':'','TargetCode':''}</v>
      </c>
    </row>
    <row r="771" ht="12.75">
      <c r="A771" t="str">
        <f>CONCATENATE("{'SheetId':'c9ace950-f402-4172-a63a-0897d6b51dcc'",",","'UId':'b6116696-8c27-4768-96aa-b3b99041e016'",",'Col':",COLUMN(DanhMucTaiSan_DTGTNN!E12),",'Row':",ROW(DanhMucTaiSan_DTGTNN!E12),",","'Format':'numberic'",",'Value':'",SUBSTITUTE(DanhMucTaiSan_DTGTNN!E12,"'","\'"),"','TargetCode':''}")</f>
        <v>{'SheetId':'c9ace950-f402-4172-a63a-0897d6b51dcc','UId':'b6116696-8c27-4768-96aa-b3b99041e016','Col':5,'Row':12,'Format':'numberic','Value':'','TargetCode':''}</v>
      </c>
    </row>
    <row r="772" ht="12.75">
      <c r="A772" t="str">
        <f>CONCATENATE("{'SheetId':'c9ace950-f402-4172-a63a-0897d6b51dcc'",",","'UId':'8227c59a-e70e-4788-a174-1971e8218ce0'",",'Col':",COLUMN(DanhMucTaiSan_DTGTNN!F12),",'Row':",ROW(DanhMucTaiSan_DTGTNN!F12),",","'Format':'numberic'",",'Value':'",SUBSTITUTE(DanhMucTaiSan_DTGTNN!F12,"'","\'"),"','TargetCode':''}")</f>
        <v>{'SheetId':'c9ace950-f402-4172-a63a-0897d6b51dcc','UId':'8227c59a-e70e-4788-a174-1971e8218ce0','Col':6,'Row':12,'Format':'numberic','Value':'','TargetCode':''}</v>
      </c>
    </row>
    <row r="773" ht="12.75">
      <c r="A773" t="str">
        <f>CONCATENATE("{'SheetId':'c9ace950-f402-4172-a63a-0897d6b51dcc'",",","'UId':'09ebc24c-2404-4d96-bddc-43702a01742c'",",'Col':",COLUMN(DanhMucTaiSan_DTGTNN!G12),",'Row':",ROW(DanhMucTaiSan_DTGTNN!G12),",","'Format':'numberic'",",'Value':'",SUBSTITUTE(DanhMucTaiSan_DTGTNN!G12,"'","\'"),"','TargetCode':''}")</f>
        <v>{'SheetId':'c9ace950-f402-4172-a63a-0897d6b51dcc','UId':'09ebc24c-2404-4d96-bddc-43702a01742c','Col':7,'Row':12,'Format':'numberic','Value':'','TargetCode':''}</v>
      </c>
    </row>
    <row r="774" ht="12.75">
      <c r="A774" t="str">
        <f>CONCATENATE("{'SheetId':'c9ace950-f402-4172-a63a-0897d6b51dcc'",",","'UId':'5e062a92-0704-483e-b772-a6d9d17edff2'",",'Col':",COLUMN(DanhMucTaiSan_DTGTNN!H12),",'Row':",ROW(DanhMucTaiSan_DTGTNN!H12),",","'Format':'numberic'",",'Value':'",SUBSTITUTE(DanhMucTaiSan_DTGTNN!H12,"'","\'"),"','TargetCode':''}")</f>
        <v>{'SheetId':'c9ace950-f402-4172-a63a-0897d6b51dcc','UId':'5e062a92-0704-483e-b772-a6d9d17edff2','Col':8,'Row':12,'Format':'numberic','Value':'','TargetCode':''}</v>
      </c>
    </row>
    <row r="775" ht="12.75">
      <c r="A775" t="str">
        <f>CONCATENATE("{'SheetId':'c9ace950-f402-4172-a63a-0897d6b51dcc'",",","'UId':'09152514-a6a9-42da-b6a1-25531c1fdbce'",",'Col':",COLUMN(DanhMucTaiSan_DTGTNN!I12),",'Row':",ROW(DanhMucTaiSan_DTGTNN!I12),",","'Format':'numberic'",",'Value':'",SUBSTITUTE(DanhMucTaiSan_DTGTNN!I12,"'","\'"),"','TargetCode':''}")</f>
        <v>{'SheetId':'c9ace950-f402-4172-a63a-0897d6b51dcc','UId':'09152514-a6a9-42da-b6a1-25531c1fdbce','Col':9,'Row':12,'Format':'numberic','Value':'','TargetCode':''}</v>
      </c>
    </row>
    <row r="776" ht="12.75">
      <c r="A776" t="str">
        <f>CONCATENATE("{'SheetId':'c9ace950-f402-4172-a63a-0897d6b51dcc'",",","'UId':'3dd999d9-c754-4e4e-9eda-14dc4a9800d7'",",'Col':",COLUMN(DanhMucTaiSan_DTGTNN!A14),",'Row':",ROW(DanhMucTaiSan_DTGTNN!A14),",","'ColDynamic':",COLUMN(DanhMucTaiSan_DTGTNN!A13),",","'RowDynamic':",ROW(DanhMucTaiSan_DTGTNN!A13),",","'Format':'string'",",'Value':'",SUBSTITUTE(DanhMucTaiSan_DTGTNN!A14,"'","\'"),"','TargetCode':''}")</f>
        <v>{'SheetId':'c9ace950-f402-4172-a63a-0897d6b51dcc','UId':'3dd999d9-c754-4e4e-9eda-14dc4a9800d7','Col':1,'Row':14,'ColDynamic':1,'RowDynamic':13,'Format':'string','Value':'','TargetCode':''}</v>
      </c>
    </row>
    <row r="777" ht="12.75">
      <c r="A777" t="str">
        <f>CONCATENATE("{'SheetId':'c9ace950-f402-4172-a63a-0897d6b51dcc'",",","'UId':'d88a160d-661d-4f76-aa69-ce9815f68345'",",'Col':",COLUMN(DanhMucTaiSan_DTGTNN!B14),",'Row':",ROW(DanhMucTaiSan_DTGTNN!B14),",","'ColDynamic':",COLUMN(DanhMucTaiSan_DTGTNN!B13),",","'RowDynamic':",ROW(DanhMucTaiSan_DTGTNN!B13),",","'Format':'string'",",'Value':'",SUBSTITUTE(DanhMucTaiSan_DTGTNN!B14,"'","\'"),"','TargetCode':''}")</f>
        <v>{'SheetId':'c9ace950-f402-4172-a63a-0897d6b51dcc','UId':'d88a160d-661d-4f76-aa69-ce9815f68345','Col':2,'Row':14,'ColDynamic':2,'RowDynamic':13,'Format':'string','Value':'Tổng','TargetCode':''}</v>
      </c>
    </row>
    <row r="778" ht="12.75">
      <c r="A778" t="str">
        <f>CONCATENATE("{'SheetId':'c9ace950-f402-4172-a63a-0897d6b51dcc'",",","'UId':'bb4d711e-5da2-44e6-b240-ff1bcc8831a2'",",'Col':",COLUMN(DanhMucTaiSan_DTGTNN!C14),",'Row':",ROW(DanhMucTaiSan_DTGTNN!C14),",","'ColDynamic':",COLUMN(DanhMucTaiSan_DTGTNN!C13),",","'RowDynamic':",ROW(DanhMucTaiSan_DTGTNN!C13),",","'Format':'string'",",'Value':'",SUBSTITUTE(DanhMucTaiSan_DTGTNN!C14,"'","\'"),"','TargetCode':''}")</f>
        <v>{'SheetId':'c9ace950-f402-4172-a63a-0897d6b51dcc','UId':'bb4d711e-5da2-44e6-b240-ff1bcc8831a2','Col':3,'Row':14,'ColDynamic':3,'RowDynamic':13,'Format':'string','Value':'2348','TargetCode':''}</v>
      </c>
    </row>
    <row r="779" ht="12.75">
      <c r="A779" t="str">
        <f>CONCATENATE("{'SheetId':'c9ace950-f402-4172-a63a-0897d6b51dcc'",",","'UId':'df12fd23-ec95-4811-a684-7cff0f09d285'",",'Col':",COLUMN(DanhMucTaiSan_DTGTNN!D14),",'Row':",ROW(DanhMucTaiSan_DTGTNN!D14),",","'ColDynamic':",COLUMN(DanhMucTaiSan_DTGTNN!C13),",","'RowDynamic':",ROW(DanhMucTaiSan_DTGTNN!C13),",","'Format':'numberic'",",'Value':'",SUBSTITUTE(DanhMucTaiSan_DTGTNN!D14,"'","\'"),"','TargetCode':''}")</f>
        <v>{'SheetId':'c9ace950-f402-4172-a63a-0897d6b51dcc','UId':'df12fd23-ec95-4811-a684-7cff0f09d285','Col':4,'Row':14,'ColDynamic':3,'RowDynamic':13,'Format':'numberic','Value':'','TargetCode':''}</v>
      </c>
    </row>
    <row r="780" ht="12.75">
      <c r="A780" t="str">
        <f>CONCATENATE("{'SheetId':'c9ace950-f402-4172-a63a-0897d6b51dcc'",",","'UId':'598cbefb-5dcf-44d0-b0d8-2cfc595f3327'",",'Col':",COLUMN(DanhMucTaiSan_DTGTNN!E14),",'Row':",ROW(DanhMucTaiSan_DTGTNN!E14),",","'ColDynamic':",COLUMN(DanhMucTaiSan_DTGTNN!D13),",","'RowDynamic':",ROW(DanhMucTaiSan_DTGTNN!D13),",","'Format':'numberic'",",'Value':'",SUBSTITUTE(DanhMucTaiSan_DTGTNN!E14,"'","\'"),"','TargetCode':''}")</f>
        <v>{'SheetId':'c9ace950-f402-4172-a63a-0897d6b51dcc','UId':'598cbefb-5dcf-44d0-b0d8-2cfc595f3327','Col':5,'Row':14,'ColDynamic':4,'RowDynamic':13,'Format':'numberic','Value':'','TargetCode':''}</v>
      </c>
    </row>
    <row r="781" ht="12.75">
      <c r="A781" t="str">
        <f>CONCATENATE("{'SheetId':'c9ace950-f402-4172-a63a-0897d6b51dcc'",",","'UId':'b235912a-d9ae-476d-9359-87a9022a2b40'",",'Col':",COLUMN(DanhMucTaiSan_DTGTNN!F14),",'Row':",ROW(DanhMucTaiSan_DTGTNN!F14),",","'ColDynamic':",COLUMN(DanhMucTaiSan_DTGTNN!E13),",","'RowDynamic':",ROW(DanhMucTaiSan_DTGTNN!E13),",","'Format':'numberic'",",'Value':'",SUBSTITUTE(DanhMucTaiSan_DTGTNN!F14,"'","\'"),"','TargetCode':''}")</f>
        <v>{'SheetId':'c9ace950-f402-4172-a63a-0897d6b51dcc','UId':'b235912a-d9ae-476d-9359-87a9022a2b40','Col':6,'Row':14,'ColDynamic':5,'RowDynamic':13,'Format':'numberic','Value':'','TargetCode':''}</v>
      </c>
    </row>
    <row r="782" ht="12.75">
      <c r="A782" t="str">
        <f>CONCATENATE("{'SheetId':'c9ace950-f402-4172-a63a-0897d6b51dcc'",",","'UId':'09a370c7-86e7-4cc0-a432-c8dbfe98ba99'",",'Col':",COLUMN(DanhMucTaiSan_DTGTNN!G14),",'Row':",ROW(DanhMucTaiSan_DTGTNN!G14),",","'ColDynamic':",COLUMN(DanhMucTaiSan_DTGTNN!F13),",","'RowDynamic':",ROW(DanhMucTaiSan_DTGTNN!F13),",","'Format':'numberic'",",'Value':'",SUBSTITUTE(DanhMucTaiSan_DTGTNN!G14,"'","\'"),"','TargetCode':''}")</f>
        <v>{'SheetId':'c9ace950-f402-4172-a63a-0897d6b51dcc','UId':'09a370c7-86e7-4cc0-a432-c8dbfe98ba99','Col':7,'Row':14,'ColDynamic':6,'RowDynamic':13,'Format':'numberic','Value':'','TargetCode':''}</v>
      </c>
    </row>
    <row r="783" ht="12.75">
      <c r="A783" t="str">
        <f>CONCATENATE("{'SheetId':'c9ace950-f402-4172-a63a-0897d6b51dcc'",",","'UId':'51d44cbb-3d9b-46e2-b352-f8244395052c'",",'Col':",COLUMN(DanhMucTaiSan_DTGTNN!H14),",'Row':",ROW(DanhMucTaiSan_DTGTNN!H14),",","'ColDynamic':",COLUMN(DanhMucTaiSan_DTGTNN!G13),",","'RowDynamic':",ROW(DanhMucTaiSan_DTGTNN!G13),",","'Format':'numberic'",",'Value':'",SUBSTITUTE(DanhMucTaiSan_DTGTNN!H14,"'","\'"),"','TargetCode':''}")</f>
        <v>{'SheetId':'c9ace950-f402-4172-a63a-0897d6b51dcc','UId':'51d44cbb-3d9b-46e2-b352-f8244395052c','Col':8,'Row':14,'ColDynamic':7,'RowDynamic':13,'Format':'numberic','Value':'','TargetCode':''}</v>
      </c>
    </row>
    <row r="784" ht="12.75">
      <c r="A784" t="str">
        <f>CONCATENATE("{'SheetId':'c9ace950-f402-4172-a63a-0897d6b51dcc'",",","'UId':'05f4a340-497b-49f7-8b01-b0dcfb7e875b'",",'Col':",COLUMN(DanhMucTaiSan_DTGTNN!I14),",'Row':",ROW(DanhMucTaiSan_DTGTNN!I14),",","'ColDynamic':",COLUMN(DanhMucTaiSan_DTGTNN!H13),",","'RowDynamic':",ROW(DanhMucTaiSan_DTGTNN!H13),",","'Format':'numberic'",",'Value':'",SUBSTITUTE(DanhMucTaiSan_DTGTNN!I14,"'","\'"),"','TargetCode':''}")</f>
        <v>{'SheetId':'c9ace950-f402-4172-a63a-0897d6b51dcc','UId':'05f4a340-497b-49f7-8b01-b0dcfb7e875b','Col':9,'Row':14,'ColDynamic':8,'RowDynamic':13,'Format':'numberic','Value':'','TargetCode':''}</v>
      </c>
    </row>
    <row r="785" ht="12.75">
      <c r="A785" t="str">
        <f>CONCATENATE("{'SheetId':'c9ace950-f402-4172-a63a-0897d6b51dcc'",",","'UId':'50895c4f-df21-4d4f-aadb-4346fd962747'",",'Col':",COLUMN(DanhMucTaiSan_DTGTNN!D15),",'Row':",ROW(DanhMucTaiSan_DTGTNN!D15),",","'Format':'numberic'",",'Value':'",SUBSTITUTE(DanhMucTaiSan_DTGTNN!D15,"'","\'"),"','TargetCode':''}")</f>
        <v>{'SheetId':'c9ace950-f402-4172-a63a-0897d6b51dcc','UId':'50895c4f-df21-4d4f-aadb-4346fd962747','Col':4,'Row':15,'Format':'numberic','Value':'','TargetCode':''}</v>
      </c>
    </row>
    <row r="786" ht="12.75">
      <c r="A786" t="str">
        <f>CONCATENATE("{'SheetId':'c9ace950-f402-4172-a63a-0897d6b51dcc'",",","'UId':'8ba0901e-1dac-4d42-87f1-b683ae575a52'",",'Col':",COLUMN(DanhMucTaiSan_DTGTNN!E15),",'Row':",ROW(DanhMucTaiSan_DTGTNN!E15),",","'Format':'numberic'",",'Value':'",SUBSTITUTE(DanhMucTaiSan_DTGTNN!E15,"'","\'"),"','TargetCode':''}")</f>
        <v>{'SheetId':'c9ace950-f402-4172-a63a-0897d6b51dcc','UId':'8ba0901e-1dac-4d42-87f1-b683ae575a52','Col':5,'Row':15,'Format':'numberic','Value':'','TargetCode':''}</v>
      </c>
    </row>
    <row r="787" ht="12.75">
      <c r="A787" t="str">
        <f>CONCATENATE("{'SheetId':'c9ace950-f402-4172-a63a-0897d6b51dcc'",",","'UId':'7bc6aecd-b157-4389-8dbc-dbed05560cd8'",",'Col':",COLUMN(DanhMucTaiSan_DTGTNN!F15),",'Row':",ROW(DanhMucTaiSan_DTGTNN!F15),",","'Format':'numberic'",",'Value':'",SUBSTITUTE(DanhMucTaiSan_DTGTNN!F15,"'","\'"),"','TargetCode':''}")</f>
        <v>{'SheetId':'c9ace950-f402-4172-a63a-0897d6b51dcc','UId':'7bc6aecd-b157-4389-8dbc-dbed05560cd8','Col':6,'Row':15,'Format':'numberic','Value':'','TargetCode':''}</v>
      </c>
    </row>
    <row r="788" ht="12.75">
      <c r="A788" t="str">
        <f>CONCATENATE("{'SheetId':'c9ace950-f402-4172-a63a-0897d6b51dcc'",",","'UId':'e65de4a4-0570-4bf0-88d2-2351e384c029'",",'Col':",COLUMN(DanhMucTaiSan_DTGTNN!G15),",'Row':",ROW(DanhMucTaiSan_DTGTNN!G15),",","'Format':'numberic'",",'Value':'",SUBSTITUTE(DanhMucTaiSan_DTGTNN!G15,"'","\'"),"','TargetCode':''}")</f>
        <v>{'SheetId':'c9ace950-f402-4172-a63a-0897d6b51dcc','UId':'e65de4a4-0570-4bf0-88d2-2351e384c029','Col':7,'Row':15,'Format':'numberic','Value':'','TargetCode':''}</v>
      </c>
    </row>
    <row r="789" ht="12.75">
      <c r="A789" t="str">
        <f>CONCATENATE("{'SheetId':'c9ace950-f402-4172-a63a-0897d6b51dcc'",",","'UId':'7bad4c40-21f3-46d4-ba25-695875ae07ae'",",'Col':",COLUMN(DanhMucTaiSan_DTGTNN!H15),",'Row':",ROW(DanhMucTaiSan_DTGTNN!H15),",","'Format':'numberic'",",'Value':'",SUBSTITUTE(DanhMucTaiSan_DTGTNN!H15,"'","\'"),"','TargetCode':''}")</f>
        <v>{'SheetId':'c9ace950-f402-4172-a63a-0897d6b51dcc','UId':'7bad4c40-21f3-46d4-ba25-695875ae07ae','Col':8,'Row':15,'Format':'numberic','Value':'','TargetCode':''}</v>
      </c>
    </row>
    <row r="790" ht="12.75">
      <c r="A790" t="str">
        <f>CONCATENATE("{'SheetId':'c9ace950-f402-4172-a63a-0897d6b51dcc'",",","'UId':'06a5a37d-6e00-43d8-a509-8322657203ff'",",'Col':",COLUMN(DanhMucTaiSan_DTGTNN!I15),",'Row':",ROW(DanhMucTaiSan_DTGTNN!I15),",","'Format':'numberic'",",'Value':'",SUBSTITUTE(DanhMucTaiSan_DTGTNN!I15,"'","\'"),"','TargetCode':''}")</f>
        <v>{'SheetId':'c9ace950-f402-4172-a63a-0897d6b51dcc','UId':'06a5a37d-6e00-43d8-a509-8322657203ff','Col':9,'Row':15,'Format':'numberic','Value':'','TargetCode':''}</v>
      </c>
    </row>
    <row r="791" ht="12.75">
      <c r="A791" t="str">
        <f>CONCATENATE("{'SheetId':'c9ace950-f402-4172-a63a-0897d6b51dcc'",",","'UId':'d80d423b-bb4d-455b-a18f-00610dfa56e8'",",'Col':",COLUMN(DanhMucTaiSan_DTGTNN!A17),",'Row':",ROW(DanhMucTaiSan_DTGTNN!A17),",","'ColDynamic':",COLUMN(DanhMucTaiSan_DTGTNN!A16),",","'RowDynamic':",ROW(DanhMucTaiSan_DTGTNN!A16),",","'Format':'string'",",'Value':'",SUBSTITUTE(DanhMucTaiSan_DTGTNN!A17,"'","\'"),"','TargetCode':''}")</f>
        <v>{'SheetId':'c9ace950-f402-4172-a63a-0897d6b51dcc','UId':'d80d423b-bb4d-455b-a18f-00610dfa56e8','Col':1,'Row':17,'ColDynamic':1,'RowDynamic':16,'Format':'string','Value':'','TargetCode':''}</v>
      </c>
    </row>
    <row r="792" ht="12.75">
      <c r="A792" t="str">
        <f>CONCATENATE("{'SheetId':'c9ace950-f402-4172-a63a-0897d6b51dcc'",",","'UId':'cae07b62-ae4a-4f1f-9d4b-316c651fe875'",",'Col':",COLUMN(DanhMucTaiSan_DTGTNN!B17),",'Row':",ROW(DanhMucTaiSan_DTGTNN!B17),",","'ColDynamic':",COLUMN(DanhMucTaiSan_DTGTNN!B16),",","'RowDynamic':",ROW(DanhMucTaiSan_DTGTNN!B16),",","'Format':'string'",",'Value':'",SUBSTITUTE(DanhMucTaiSan_DTGTNN!B17,"'","\'"),"','TargetCode':''}")</f>
        <v>{'SheetId':'c9ace950-f402-4172-a63a-0897d6b51dcc','UId':'cae07b62-ae4a-4f1f-9d4b-316c651fe875','Col':2,'Row':17,'ColDynamic':2,'RowDynamic':16,'Format':'string','Value':'Tổng','TargetCode':''}</v>
      </c>
    </row>
    <row r="793" ht="12.75">
      <c r="A793" t="str">
        <f>CONCATENATE("{'SheetId':'c9ace950-f402-4172-a63a-0897d6b51dcc'",",","'UId':'38c03963-1feb-4017-a18a-b65ebeb12e12'",",'Col':",COLUMN(DanhMucTaiSan_DTGTNN!C17),",'Row':",ROW(DanhMucTaiSan_DTGTNN!C17),",","'ColDynamic':",COLUMN(DanhMucTaiSan_DTGTNN!C16),",","'RowDynamic':",ROW(DanhMucTaiSan_DTGTNN!C16),",","'Format':'string'",",'Value':'",SUBSTITUTE(DanhMucTaiSan_DTGTNN!C17,"'","\'"),"','TargetCode':''}")</f>
        <v>{'SheetId':'c9ace950-f402-4172-a63a-0897d6b51dcc','UId':'38c03963-1feb-4017-a18a-b65ebeb12e12','Col':3,'Row':17,'ColDynamic':3,'RowDynamic':16,'Format':'string','Value':'2350','TargetCode':''}</v>
      </c>
    </row>
    <row r="794" ht="12.75">
      <c r="A794" t="str">
        <f>CONCATENATE("{'SheetId':'c9ace950-f402-4172-a63a-0897d6b51dcc'",",","'UId':'c4fbfbe2-e856-4879-8d2a-d34b4c286206'",",'Col':",COLUMN(DanhMucTaiSan_DTGTNN!D17),",'Row':",ROW(DanhMucTaiSan_DTGTNN!D17),",","'ColDynamic':",COLUMN(DanhMucTaiSan_DTGTNN!C16),",","'RowDynamic':",ROW(DanhMucTaiSan_DTGTNN!C16),",","'Format':'numberic'",",'Value':'",SUBSTITUTE(DanhMucTaiSan_DTGTNN!D17,"'","\'"),"','TargetCode':''}")</f>
        <v>{'SheetId':'c9ace950-f402-4172-a63a-0897d6b51dcc','UId':'c4fbfbe2-e856-4879-8d2a-d34b4c286206','Col':4,'Row':17,'ColDynamic':3,'RowDynamic':16,'Format':'numberic','Value':'','TargetCode':''}</v>
      </c>
    </row>
    <row r="795" ht="12.75">
      <c r="A795" t="str">
        <f>CONCATENATE("{'SheetId':'c9ace950-f402-4172-a63a-0897d6b51dcc'",",","'UId':'4294ae46-4780-41e2-88f9-bddf081ae6c8'",",'Col':",COLUMN(DanhMucTaiSan_DTGTNN!E17),",'Row':",ROW(DanhMucTaiSan_DTGTNN!E17),",","'ColDynamic':",COLUMN(DanhMucTaiSan_DTGTNN!D16),",","'RowDynamic':",ROW(DanhMucTaiSan_DTGTNN!D16),",","'Format':'numberic'",",'Value':'",SUBSTITUTE(DanhMucTaiSan_DTGTNN!E17,"'","\'"),"','TargetCode':''}")</f>
        <v>{'SheetId':'c9ace950-f402-4172-a63a-0897d6b51dcc','UId':'4294ae46-4780-41e2-88f9-bddf081ae6c8','Col':5,'Row':17,'ColDynamic':4,'RowDynamic':16,'Format':'numberic','Value':'','TargetCode':''}</v>
      </c>
    </row>
    <row r="796" ht="12.75">
      <c r="A796" t="str">
        <f>CONCATENATE("{'SheetId':'c9ace950-f402-4172-a63a-0897d6b51dcc'",",","'UId':'256a0f43-09c7-4761-94a1-89b344c151d0'",",'Col':",COLUMN(DanhMucTaiSan_DTGTNN!F17),",'Row':",ROW(DanhMucTaiSan_DTGTNN!F17),",","'ColDynamic':",COLUMN(DanhMucTaiSan_DTGTNN!E16),",","'RowDynamic':",ROW(DanhMucTaiSan_DTGTNN!E16),",","'Format':'numberic'",",'Value':'",SUBSTITUTE(DanhMucTaiSan_DTGTNN!F17,"'","\'"),"','TargetCode':''}")</f>
        <v>{'SheetId':'c9ace950-f402-4172-a63a-0897d6b51dcc','UId':'256a0f43-09c7-4761-94a1-89b344c151d0','Col':6,'Row':17,'ColDynamic':5,'RowDynamic':16,'Format':'numberic','Value':'','TargetCode':''}</v>
      </c>
    </row>
    <row r="797" ht="12.75">
      <c r="A797" t="str">
        <f>CONCATENATE("{'SheetId':'c9ace950-f402-4172-a63a-0897d6b51dcc'",",","'UId':'73c34c5c-02c8-42bd-adc8-ab3f00a2699e'",",'Col':",COLUMN(DanhMucTaiSan_DTGTNN!G17),",'Row':",ROW(DanhMucTaiSan_DTGTNN!G17),",","'ColDynamic':",COLUMN(DanhMucTaiSan_DTGTNN!F16),",","'RowDynamic':",ROW(DanhMucTaiSan_DTGTNN!F16),",","'Format':'numberic'",",'Value':'",SUBSTITUTE(DanhMucTaiSan_DTGTNN!G17,"'","\'"),"','TargetCode':''}")</f>
        <v>{'SheetId':'c9ace950-f402-4172-a63a-0897d6b51dcc','UId':'73c34c5c-02c8-42bd-adc8-ab3f00a2699e','Col':7,'Row':17,'ColDynamic':6,'RowDynamic':16,'Format':'numberic','Value':'','TargetCode':''}</v>
      </c>
    </row>
    <row r="798" ht="12.75">
      <c r="A798" t="str">
        <f>CONCATENATE("{'SheetId':'c9ace950-f402-4172-a63a-0897d6b51dcc'",",","'UId':'e1873af4-8725-489d-9fb9-beac8c0c91aa'",",'Col':",COLUMN(DanhMucTaiSan_DTGTNN!H17),",'Row':",ROW(DanhMucTaiSan_DTGTNN!H17),",","'ColDynamic':",COLUMN(DanhMucTaiSan_DTGTNN!G16),",","'RowDynamic':",ROW(DanhMucTaiSan_DTGTNN!G16),",","'Format':'numberic'",",'Value':'",SUBSTITUTE(DanhMucTaiSan_DTGTNN!H17,"'","\'"),"','TargetCode':''}")</f>
        <v>{'SheetId':'c9ace950-f402-4172-a63a-0897d6b51dcc','UId':'e1873af4-8725-489d-9fb9-beac8c0c91aa','Col':8,'Row':17,'ColDynamic':7,'RowDynamic':16,'Format':'numberic','Value':'','TargetCode':''}</v>
      </c>
    </row>
    <row r="799" ht="12.75">
      <c r="A799" t="str">
        <f>CONCATENATE("{'SheetId':'c9ace950-f402-4172-a63a-0897d6b51dcc'",",","'UId':'d49d48c8-f4e5-4379-945b-62a288af4695'",",'Col':",COLUMN(DanhMucTaiSan_DTGTNN!I17),",'Row':",ROW(DanhMucTaiSan_DTGTNN!I17),",","'ColDynamic':",COLUMN(DanhMucTaiSan_DTGTNN!H16),",","'RowDynamic':",ROW(DanhMucTaiSan_DTGTNN!H16),",","'Format':'numberic'",",'Value':'",SUBSTITUTE(DanhMucTaiSan_DTGTNN!I17,"'","\'"),"','TargetCode':''}")</f>
        <v>{'SheetId':'c9ace950-f402-4172-a63a-0897d6b51dcc','UId':'d49d48c8-f4e5-4379-945b-62a288af4695','Col':9,'Row':17,'ColDynamic':8,'RowDynamic':16,'Format':'numberic','Value':'','TargetCode':''}</v>
      </c>
    </row>
    <row r="800" ht="12.75">
      <c r="A800" t="str">
        <f>CONCATENATE("{'SheetId':'c9ace950-f402-4172-a63a-0897d6b51dcc'",",","'UId':'054e0ec3-f12d-4ac9-838b-2a77a23969eb'",",'Col':",COLUMN(DanhMucTaiSan_DTGTNN!D18),",'Row':",ROW(DanhMucTaiSan_DTGTNN!D18),",","'Format':'numberic'",",'Value':'",SUBSTITUTE(DanhMucTaiSan_DTGTNN!D18,"'","\'"),"','TargetCode':''}")</f>
        <v>{'SheetId':'c9ace950-f402-4172-a63a-0897d6b51dcc','UId':'054e0ec3-f12d-4ac9-838b-2a77a23969eb','Col':4,'Row':18,'Format':'numberic','Value':'','TargetCode':''}</v>
      </c>
    </row>
    <row r="801" ht="12.75">
      <c r="A801" t="str">
        <f>CONCATENATE("{'SheetId':'c9ace950-f402-4172-a63a-0897d6b51dcc'",",","'UId':'fa854150-00a6-4939-bbb3-1ad29b8f7a5d'",",'Col':",COLUMN(DanhMucTaiSan_DTGTNN!E18),",'Row':",ROW(DanhMucTaiSan_DTGTNN!E18),",","'Format':'numberic'",",'Value':'",SUBSTITUTE(DanhMucTaiSan_DTGTNN!E18,"'","\'"),"','TargetCode':''}")</f>
        <v>{'SheetId':'c9ace950-f402-4172-a63a-0897d6b51dcc','UId':'fa854150-00a6-4939-bbb3-1ad29b8f7a5d','Col':5,'Row':18,'Format':'numberic','Value':'','TargetCode':''}</v>
      </c>
    </row>
    <row r="802" ht="12.75">
      <c r="A802" t="str">
        <f>CONCATENATE("{'SheetId':'c9ace950-f402-4172-a63a-0897d6b51dcc'",",","'UId':'8b807453-e587-42db-ba7c-4caca8fe9b18'",",'Col':",COLUMN(DanhMucTaiSan_DTGTNN!F18),",'Row':",ROW(DanhMucTaiSan_DTGTNN!F18),",","'Format':'numberic'",",'Value':'",SUBSTITUTE(DanhMucTaiSan_DTGTNN!F18,"'","\'"),"','TargetCode':''}")</f>
        <v>{'SheetId':'c9ace950-f402-4172-a63a-0897d6b51dcc','UId':'8b807453-e587-42db-ba7c-4caca8fe9b18','Col':6,'Row':18,'Format':'numberic','Value':'','TargetCode':''}</v>
      </c>
    </row>
    <row r="803" ht="12.75">
      <c r="A803" t="str">
        <f>CONCATENATE("{'SheetId':'c9ace950-f402-4172-a63a-0897d6b51dcc'",",","'UId':'1d036b9a-3824-4d1d-829d-dbb2f344b17d'",",'Col':",COLUMN(DanhMucTaiSan_DTGTNN!G18),",'Row':",ROW(DanhMucTaiSan_DTGTNN!G18),",","'Format':'numberic'",",'Value':'",SUBSTITUTE(DanhMucTaiSan_DTGTNN!G18,"'","\'"),"','TargetCode':''}")</f>
        <v>{'SheetId':'c9ace950-f402-4172-a63a-0897d6b51dcc','UId':'1d036b9a-3824-4d1d-829d-dbb2f344b17d','Col':7,'Row':18,'Format':'numberic','Value':'','TargetCode':''}</v>
      </c>
    </row>
    <row r="804" ht="12.75">
      <c r="A804" t="str">
        <f>CONCATENATE("{'SheetId':'c9ace950-f402-4172-a63a-0897d6b51dcc'",",","'UId':'f1ff08d0-ee50-44fc-978e-9c7c6e8c09dd'",",'Col':",COLUMN(DanhMucTaiSan_DTGTNN!H18),",'Row':",ROW(DanhMucTaiSan_DTGTNN!H18),",","'Format':'numberic'",",'Value':'",SUBSTITUTE(DanhMucTaiSan_DTGTNN!H18,"'","\'"),"','TargetCode':''}")</f>
        <v>{'SheetId':'c9ace950-f402-4172-a63a-0897d6b51dcc','UId':'f1ff08d0-ee50-44fc-978e-9c7c6e8c09dd','Col':8,'Row':18,'Format':'numberic','Value':'','TargetCode':''}</v>
      </c>
    </row>
    <row r="805" ht="12.75">
      <c r="A805" t="str">
        <f>CONCATENATE("{'SheetId':'c9ace950-f402-4172-a63a-0897d6b51dcc'",",","'UId':'e9e58b46-670e-4da9-8bf2-64dc210ab42b'",",'Col':",COLUMN(DanhMucTaiSan_DTGTNN!I18),",'Row':",ROW(DanhMucTaiSan_DTGTNN!I18),",","'Format':'numberic'",",'Value':'",SUBSTITUTE(DanhMucTaiSan_DTGTNN!I18,"'","\'"),"','TargetCode':''}")</f>
        <v>{'SheetId':'c9ace950-f402-4172-a63a-0897d6b51dcc','UId':'e9e58b46-670e-4da9-8bf2-64dc210ab42b','Col':9,'Row':18,'Format':'numberic','Value':'','TargetCode':''}</v>
      </c>
    </row>
    <row r="806" ht="12.75">
      <c r="A806" t="str">
        <f>CONCATENATE("{'SheetId':'c9ace950-f402-4172-a63a-0897d6b51dcc'",",","'UId':'bdddf905-4d6d-4cf0-ad01-ce9c58253b58'",",'Col':",COLUMN(DanhMucTaiSan_DTGTNN!A20),",'Row':",ROW(DanhMucTaiSan_DTGTNN!A20),",","'ColDynamic':",COLUMN(DanhMucTaiSan_DTGTNN!A19),",","'RowDynamic':",ROW(DanhMucTaiSan_DTGTNN!A19),",","'Format':'string'",",'Value':'",SUBSTITUTE(DanhMucTaiSan_DTGTNN!A20,"'","\'"),"','TargetCode':''}")</f>
        <v>{'SheetId':'c9ace950-f402-4172-a63a-0897d6b51dcc','UId':'bdddf905-4d6d-4cf0-ad01-ce9c58253b58','Col':1,'Row':20,'ColDynamic':1,'RowDynamic':19,'Format':'string','Value':'','TargetCode':''}</v>
      </c>
    </row>
    <row r="807" ht="12.75">
      <c r="A807" t="str">
        <f>CONCATENATE("{'SheetId':'c9ace950-f402-4172-a63a-0897d6b51dcc'",",","'UId':'f7e09dfa-5dbe-433d-ad95-57f4248c7526'",",'Col':",COLUMN(DanhMucTaiSan_DTGTNN!B20),",'Row':",ROW(DanhMucTaiSan_DTGTNN!B20),",","'ColDynamic':",COLUMN(DanhMucTaiSan_DTGTNN!B19),",","'RowDynamic':",ROW(DanhMucTaiSan_DTGTNN!B19),",","'Format':'string'",",'Value':'",SUBSTITUTE(DanhMucTaiSan_DTGTNN!B20,"'","\'"),"','TargetCode':''}")</f>
        <v>{'SheetId':'c9ace950-f402-4172-a63a-0897d6b51dcc','UId':'f7e09dfa-5dbe-433d-ad95-57f4248c7526','Col':2,'Row':20,'ColDynamic':2,'RowDynamic':19,'Format':'string','Value':'Tổng','TargetCode':''}</v>
      </c>
    </row>
    <row r="808" ht="12.75">
      <c r="A808" t="str">
        <f>CONCATENATE("{'SheetId':'c9ace950-f402-4172-a63a-0897d6b51dcc'",",","'UId':'226384ce-fa76-4977-bc35-f2344392d8ec'",",'Col':",COLUMN(DanhMucTaiSan_DTGTNN!C20),",'Row':",ROW(DanhMucTaiSan_DTGTNN!C20),",","'ColDynamic':",COLUMN(DanhMucTaiSan_DTGTNN!C19),",","'RowDynamic':",ROW(DanhMucTaiSan_DTGTNN!C19),",","'Format':'string'",",'Value':'",SUBSTITUTE(DanhMucTaiSan_DTGTNN!C20,"'","\'"),"','TargetCode':''}")</f>
        <v>{'SheetId':'c9ace950-f402-4172-a63a-0897d6b51dcc','UId':'226384ce-fa76-4977-bc35-f2344392d8ec','Col':3,'Row':20,'ColDynamic':3,'RowDynamic':19,'Format':'string','Value':'2352','TargetCode':''}</v>
      </c>
    </row>
    <row r="809" ht="12.75">
      <c r="A809" t="str">
        <f>CONCATENATE("{'SheetId':'c9ace950-f402-4172-a63a-0897d6b51dcc'",",","'UId':'9e07a461-6568-405f-ab69-2023d3e6b30c'",",'Col':",COLUMN(DanhMucTaiSan_DTGTNN!D20),",'Row':",ROW(DanhMucTaiSan_DTGTNN!D20),",","'ColDynamic':",COLUMN(DanhMucTaiSan_DTGTNN!C19),",","'RowDynamic':",ROW(DanhMucTaiSan_DTGTNN!C19),",","'Format':'numberic'",",'Value':'",SUBSTITUTE(DanhMucTaiSan_DTGTNN!D20,"'","\'"),"','TargetCode':''}")</f>
        <v>{'SheetId':'c9ace950-f402-4172-a63a-0897d6b51dcc','UId':'9e07a461-6568-405f-ab69-2023d3e6b30c','Col':4,'Row':20,'ColDynamic':3,'RowDynamic':19,'Format':'numberic','Value':'','TargetCode':''}</v>
      </c>
    </row>
    <row r="810" ht="12.75">
      <c r="A810" t="str">
        <f>CONCATENATE("{'SheetId':'c9ace950-f402-4172-a63a-0897d6b51dcc'",",","'UId':'b07c77ee-a4eb-40c1-9c19-6be723627a2e'",",'Col':",COLUMN(DanhMucTaiSan_DTGTNN!E20),",'Row':",ROW(DanhMucTaiSan_DTGTNN!E20),",","'ColDynamic':",COLUMN(DanhMucTaiSan_DTGTNN!D19),",","'RowDynamic':",ROW(DanhMucTaiSan_DTGTNN!D19),",","'Format':'numberic'",",'Value':'",SUBSTITUTE(DanhMucTaiSan_DTGTNN!E20,"'","\'"),"','TargetCode':''}")</f>
        <v>{'SheetId':'c9ace950-f402-4172-a63a-0897d6b51dcc','UId':'b07c77ee-a4eb-40c1-9c19-6be723627a2e','Col':5,'Row':20,'ColDynamic':4,'RowDynamic':19,'Format':'numberic','Value':'','TargetCode':''}</v>
      </c>
    </row>
    <row r="811" ht="12.75">
      <c r="A811" t="str">
        <f>CONCATENATE("{'SheetId':'c9ace950-f402-4172-a63a-0897d6b51dcc'",",","'UId':'59ad4b7c-be9c-4415-902e-005a66a0d820'",",'Col':",COLUMN(DanhMucTaiSan_DTGTNN!F20),",'Row':",ROW(DanhMucTaiSan_DTGTNN!F20),",","'ColDynamic':",COLUMN(DanhMucTaiSan_DTGTNN!E19),",","'RowDynamic':",ROW(DanhMucTaiSan_DTGTNN!E19),",","'Format':'numberic'",",'Value':'",SUBSTITUTE(DanhMucTaiSan_DTGTNN!F20,"'","\'"),"','TargetCode':''}")</f>
        <v>{'SheetId':'c9ace950-f402-4172-a63a-0897d6b51dcc','UId':'59ad4b7c-be9c-4415-902e-005a66a0d820','Col':6,'Row':20,'ColDynamic':5,'RowDynamic':19,'Format':'numberic','Value':'','TargetCode':''}</v>
      </c>
    </row>
    <row r="812" ht="12.75">
      <c r="A812" t="str">
        <f>CONCATENATE("{'SheetId':'c9ace950-f402-4172-a63a-0897d6b51dcc'",",","'UId':'2d8f5c4a-bbdf-4a80-8b2f-aa6b45fa7f97'",",'Col':",COLUMN(DanhMucTaiSan_DTGTNN!G20),",'Row':",ROW(DanhMucTaiSan_DTGTNN!G20),",","'ColDynamic':",COLUMN(DanhMucTaiSan_DTGTNN!F19),",","'RowDynamic':",ROW(DanhMucTaiSan_DTGTNN!F19),",","'Format':'numberic'",",'Value':'",SUBSTITUTE(DanhMucTaiSan_DTGTNN!G20,"'","\'"),"','TargetCode':''}")</f>
        <v>{'SheetId':'c9ace950-f402-4172-a63a-0897d6b51dcc','UId':'2d8f5c4a-bbdf-4a80-8b2f-aa6b45fa7f97','Col':7,'Row':20,'ColDynamic':6,'RowDynamic':19,'Format':'numberic','Value':'','TargetCode':''}</v>
      </c>
    </row>
    <row r="813" ht="12.75">
      <c r="A813" t="str">
        <f>CONCATENATE("{'SheetId':'c9ace950-f402-4172-a63a-0897d6b51dcc'",",","'UId':'9faf9881-3513-4ea5-bd81-49012f38b799'",",'Col':",COLUMN(DanhMucTaiSan_DTGTNN!H20),",'Row':",ROW(DanhMucTaiSan_DTGTNN!H20),",","'ColDynamic':",COLUMN(DanhMucTaiSan_DTGTNN!G19),",","'RowDynamic':",ROW(DanhMucTaiSan_DTGTNN!G19),",","'Format':'numberic'",",'Value':'",SUBSTITUTE(DanhMucTaiSan_DTGTNN!H20,"'","\'"),"','TargetCode':''}")</f>
        <v>{'SheetId':'c9ace950-f402-4172-a63a-0897d6b51dcc','UId':'9faf9881-3513-4ea5-bd81-49012f38b799','Col':8,'Row':20,'ColDynamic':7,'RowDynamic':19,'Format':'numberic','Value':'','TargetCode':''}</v>
      </c>
    </row>
    <row r="814" ht="12.75">
      <c r="A814" t="str">
        <f>CONCATENATE("{'SheetId':'c9ace950-f402-4172-a63a-0897d6b51dcc'",",","'UId':'3afcdb3a-c5c2-4f48-9215-9e5b6ff675c3'",",'Col':",COLUMN(DanhMucTaiSan_DTGTNN!I20),",'Row':",ROW(DanhMucTaiSan_DTGTNN!I20),",","'ColDynamic':",COLUMN(DanhMucTaiSan_DTGTNN!H19),",","'RowDynamic':",ROW(DanhMucTaiSan_DTGTNN!H19),",","'Format':'numberic'",",'Value':'",SUBSTITUTE(DanhMucTaiSan_DTGTNN!I20,"'","\'"),"','TargetCode':''}")</f>
        <v>{'SheetId':'c9ace950-f402-4172-a63a-0897d6b51dcc','UId':'3afcdb3a-c5c2-4f48-9215-9e5b6ff675c3','Col':9,'Row':20,'ColDynamic':8,'RowDynamic':19,'Format':'numberic','Value':'','TargetCode':''}</v>
      </c>
    </row>
    <row r="815" ht="12.75">
      <c r="A815" t="str">
        <f>CONCATENATE("{'SheetId':'c9ace950-f402-4172-a63a-0897d6b51dcc'",",","'UId':'cd4c3ca0-25a4-428f-accf-0e0784330488'",",'Col':",COLUMN(DanhMucTaiSan_DTGTNN!D21),",'Row':",ROW(DanhMucTaiSan_DTGTNN!D21),",","'Format':'numberic'",",'Value':'",SUBSTITUTE(DanhMucTaiSan_DTGTNN!D21,"'","\'"),"','TargetCode':''}")</f>
        <v>{'SheetId':'c9ace950-f402-4172-a63a-0897d6b51dcc','UId':'cd4c3ca0-25a4-428f-accf-0e0784330488','Col':4,'Row':21,'Format':'numberic','Value':'','TargetCode':''}</v>
      </c>
    </row>
    <row r="816" ht="12.75">
      <c r="A816" t="str">
        <f>CONCATENATE("{'SheetId':'c9ace950-f402-4172-a63a-0897d6b51dcc'",",","'UId':'ee17b143-248d-4ded-9c8b-3b4059bf31a4'",",'Col':",COLUMN(DanhMucTaiSan_DTGTNN!E21),",'Row':",ROW(DanhMucTaiSan_DTGTNN!E21),",","'Format':'numberic'",",'Value':'",SUBSTITUTE(DanhMucTaiSan_DTGTNN!E21,"'","\'"),"','TargetCode':''}")</f>
        <v>{'SheetId':'c9ace950-f402-4172-a63a-0897d6b51dcc','UId':'ee17b143-248d-4ded-9c8b-3b4059bf31a4','Col':5,'Row':21,'Format':'numberic','Value':'','TargetCode':''}</v>
      </c>
    </row>
    <row r="817" ht="12.75">
      <c r="A817" t="str">
        <f>CONCATENATE("{'SheetId':'c9ace950-f402-4172-a63a-0897d6b51dcc'",",","'UId':'41f5488f-f9a3-41a8-a829-f14c3a33b5e3'",",'Col':",COLUMN(DanhMucTaiSan_DTGTNN!F21),",'Row':",ROW(DanhMucTaiSan_DTGTNN!F21),",","'Format':'numberic'",",'Value':'",SUBSTITUTE(DanhMucTaiSan_DTGTNN!F21,"'","\'"),"','TargetCode':''}")</f>
        <v>{'SheetId':'c9ace950-f402-4172-a63a-0897d6b51dcc','UId':'41f5488f-f9a3-41a8-a829-f14c3a33b5e3','Col':6,'Row':21,'Format':'numberic','Value':'','TargetCode':''}</v>
      </c>
    </row>
    <row r="818" ht="12.75">
      <c r="A818" t="str">
        <f>CONCATENATE("{'SheetId':'c9ace950-f402-4172-a63a-0897d6b51dcc'",",","'UId':'2539cfbf-53e1-4d6f-87f1-9d649b3bada4'",",'Col':",COLUMN(DanhMucTaiSan_DTGTNN!G21),",'Row':",ROW(DanhMucTaiSan_DTGTNN!G21),",","'Format':'numberic'",",'Value':'",SUBSTITUTE(DanhMucTaiSan_DTGTNN!G21,"'","\'"),"','TargetCode':''}")</f>
        <v>{'SheetId':'c9ace950-f402-4172-a63a-0897d6b51dcc','UId':'2539cfbf-53e1-4d6f-87f1-9d649b3bada4','Col':7,'Row':21,'Format':'numberic','Value':'','TargetCode':''}</v>
      </c>
    </row>
    <row r="819" ht="12.75">
      <c r="A819" t="str">
        <f>CONCATENATE("{'SheetId':'c9ace950-f402-4172-a63a-0897d6b51dcc'",",","'UId':'10aa98c2-57b3-49f6-a722-335ead6ee5fb'",",'Col':",COLUMN(DanhMucTaiSan_DTGTNN!H21),",'Row':",ROW(DanhMucTaiSan_DTGTNN!H21),",","'Format':'numberic'",",'Value':'",SUBSTITUTE(DanhMucTaiSan_DTGTNN!H21,"'","\'"),"','TargetCode':''}")</f>
        <v>{'SheetId':'c9ace950-f402-4172-a63a-0897d6b51dcc','UId':'10aa98c2-57b3-49f6-a722-335ead6ee5fb','Col':8,'Row':21,'Format':'numberic','Value':'','TargetCode':''}</v>
      </c>
    </row>
    <row r="820" ht="12.75">
      <c r="A820" t="str">
        <f>CONCATENATE("{'SheetId':'c9ace950-f402-4172-a63a-0897d6b51dcc'",",","'UId':'c06280b5-d649-46b4-9880-415ef0e84506'",",'Col':",COLUMN(DanhMucTaiSan_DTGTNN!I21),",'Row':",ROW(DanhMucTaiSan_DTGTNN!I21),",","'Format':'numberic'",",'Value':'",SUBSTITUTE(DanhMucTaiSan_DTGTNN!I21,"'","\'"),"','TargetCode':''}")</f>
        <v>{'SheetId':'c9ace950-f402-4172-a63a-0897d6b51dcc','UId':'c06280b5-d649-46b4-9880-415ef0e84506','Col':9,'Row':21,'Format':'numberic','Value':'','TargetCode':''}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44"/>
  <sheetViews>
    <sheetView zoomScalePageLayoutView="0" workbookViewId="0" topLeftCell="A1">
      <selection activeCell="F18" sqref="F18"/>
    </sheetView>
  </sheetViews>
  <sheetFormatPr defaultColWidth="9.140625" defaultRowHeight="12.75"/>
  <cols>
    <col min="1" max="1" width="6.8515625" style="0" customWidth="1"/>
    <col min="2" max="2" width="42.00390625" style="0" customWidth="1"/>
    <col min="3" max="3" width="10.28125" style="0" customWidth="1"/>
    <col min="4" max="4" width="21.28125" style="7" customWidth="1"/>
    <col min="5" max="5" width="18.28125" style="7" customWidth="1"/>
    <col min="6" max="6" width="21.8515625" style="8" customWidth="1"/>
    <col min="7" max="7" width="14.8515625" style="0" customWidth="1"/>
    <col min="8" max="8" width="14.8515625" style="0" bestFit="1" customWidth="1"/>
    <col min="9" max="9" width="14.57421875" style="0" bestFit="1" customWidth="1"/>
    <col min="10" max="10" width="11.8515625" style="0" bestFit="1" customWidth="1"/>
  </cols>
  <sheetData>
    <row r="1" spans="1:6" ht="15" customHeight="1">
      <c r="A1" s="2" t="s">
        <v>54</v>
      </c>
      <c r="B1" s="2" t="s">
        <v>7</v>
      </c>
      <c r="C1" s="2" t="s">
        <v>55</v>
      </c>
      <c r="D1" s="5" t="s">
        <v>56</v>
      </c>
      <c r="E1" s="37" t="s">
        <v>57</v>
      </c>
      <c r="F1" s="39" t="s">
        <v>58</v>
      </c>
    </row>
    <row r="2" spans="1:6" ht="15" customHeight="1">
      <c r="A2" s="1" t="s">
        <v>59</v>
      </c>
      <c r="B2" s="1" t="s">
        <v>60</v>
      </c>
      <c r="C2" s="1" t="s">
        <v>61</v>
      </c>
      <c r="D2" s="47" t="s">
        <v>0</v>
      </c>
      <c r="E2" s="48" t="s">
        <v>0</v>
      </c>
      <c r="F2" s="49" t="s">
        <v>0</v>
      </c>
    </row>
    <row r="3" spans="1:14" ht="15" customHeight="1">
      <c r="A3" s="1" t="s">
        <v>62</v>
      </c>
      <c r="B3" s="1" t="s">
        <v>63</v>
      </c>
      <c r="C3" s="1" t="s">
        <v>64</v>
      </c>
      <c r="D3" s="47">
        <v>2743916529</v>
      </c>
      <c r="E3" s="48">
        <v>4868918879</v>
      </c>
      <c r="F3" s="49">
        <v>0.6812473132507306</v>
      </c>
      <c r="G3" s="16"/>
      <c r="H3" s="17"/>
      <c r="I3" s="20"/>
      <c r="J3" s="36"/>
      <c r="K3" s="36"/>
      <c r="L3" s="36"/>
      <c r="M3" s="36"/>
      <c r="N3" s="36"/>
    </row>
    <row r="4" spans="1:14" ht="15" customHeight="1">
      <c r="A4" s="1" t="s">
        <v>0</v>
      </c>
      <c r="B4" s="1" t="s">
        <v>65</v>
      </c>
      <c r="C4" s="1" t="s">
        <v>66</v>
      </c>
      <c r="D4" s="47"/>
      <c r="E4" s="48"/>
      <c r="F4" s="49"/>
      <c r="G4" s="16"/>
      <c r="H4" s="17"/>
      <c r="I4" s="20"/>
      <c r="J4" s="36"/>
      <c r="K4" s="36"/>
      <c r="L4" s="36"/>
      <c r="M4" s="36"/>
      <c r="N4" s="36"/>
    </row>
    <row r="5" spans="1:14" ht="15" customHeight="1">
      <c r="A5" s="1" t="s">
        <v>0</v>
      </c>
      <c r="B5" s="1" t="s">
        <v>67</v>
      </c>
      <c r="C5" s="1" t="s">
        <v>68</v>
      </c>
      <c r="D5" s="47">
        <v>2743916529</v>
      </c>
      <c r="E5" s="48">
        <v>4868918879</v>
      </c>
      <c r="F5" s="49">
        <v>0.6812473132507306</v>
      </c>
      <c r="G5" s="16"/>
      <c r="H5" s="17"/>
      <c r="I5" s="20"/>
      <c r="J5" s="36"/>
      <c r="K5" s="36"/>
      <c r="L5" s="36"/>
      <c r="M5" s="36"/>
      <c r="N5" s="36"/>
    </row>
    <row r="6" spans="1:14" ht="15" customHeight="1">
      <c r="A6" s="1" t="s">
        <v>69</v>
      </c>
      <c r="B6" s="1" t="s">
        <v>70</v>
      </c>
      <c r="C6" s="1" t="s">
        <v>71</v>
      </c>
      <c r="D6" s="47">
        <v>41500231000</v>
      </c>
      <c r="E6" s="48">
        <v>43005796000</v>
      </c>
      <c r="F6" s="49">
        <v>0.9377526318361292</v>
      </c>
      <c r="G6" s="16"/>
      <c r="H6" s="17"/>
      <c r="I6" s="20"/>
      <c r="J6" s="36"/>
      <c r="K6" s="36"/>
      <c r="L6" s="36"/>
      <c r="M6" s="36"/>
      <c r="N6" s="36"/>
    </row>
    <row r="7" spans="1:14" ht="15" customHeight="1">
      <c r="A7" s="1" t="s">
        <v>72</v>
      </c>
      <c r="B7" s="1" t="s">
        <v>72</v>
      </c>
      <c r="C7" s="1" t="s">
        <v>72</v>
      </c>
      <c r="D7" s="47" t="s">
        <v>72</v>
      </c>
      <c r="E7" s="48" t="s">
        <v>72</v>
      </c>
      <c r="F7" s="49" t="s">
        <v>311</v>
      </c>
      <c r="G7" s="16"/>
      <c r="I7" s="20"/>
      <c r="J7" s="36"/>
      <c r="K7" s="36"/>
      <c r="L7" s="36"/>
      <c r="M7" s="36"/>
      <c r="N7" s="36"/>
    </row>
    <row r="8" spans="1:14" ht="15" customHeight="1">
      <c r="A8" s="1" t="s">
        <v>0</v>
      </c>
      <c r="B8" s="1" t="s">
        <v>370</v>
      </c>
      <c r="C8" s="1" t="s">
        <v>388</v>
      </c>
      <c r="D8" s="47">
        <v>41500231000</v>
      </c>
      <c r="E8" s="48">
        <v>43005796000</v>
      </c>
      <c r="F8" s="49">
        <v>0.9377526318361292</v>
      </c>
      <c r="G8" s="16"/>
      <c r="H8" s="17"/>
      <c r="I8" s="20"/>
      <c r="J8" s="36"/>
      <c r="K8" s="36"/>
      <c r="L8" s="36"/>
      <c r="M8" s="36"/>
      <c r="N8" s="36"/>
    </row>
    <row r="9" spans="1:14" ht="15" customHeight="1">
      <c r="A9" s="1"/>
      <c r="B9" s="1" t="s">
        <v>373</v>
      </c>
      <c r="C9" s="1" t="s">
        <v>389</v>
      </c>
      <c r="D9" s="47"/>
      <c r="E9" s="48"/>
      <c r="F9" s="49"/>
      <c r="G9" s="16"/>
      <c r="H9" s="17"/>
      <c r="I9" s="20"/>
      <c r="J9" s="36"/>
      <c r="K9" s="36"/>
      <c r="L9" s="36"/>
      <c r="M9" s="36"/>
      <c r="N9" s="36"/>
    </row>
    <row r="10" spans="1:14" ht="15" customHeight="1">
      <c r="A10" s="1"/>
      <c r="B10" s="1" t="s">
        <v>411</v>
      </c>
      <c r="C10" s="1" t="s">
        <v>412</v>
      </c>
      <c r="D10" s="47"/>
      <c r="E10" s="48"/>
      <c r="F10" s="49"/>
      <c r="G10" s="16"/>
      <c r="H10" s="17"/>
      <c r="I10" s="20"/>
      <c r="J10" s="36"/>
      <c r="K10" s="36"/>
      <c r="L10" s="36"/>
      <c r="M10" s="36"/>
      <c r="N10" s="36"/>
    </row>
    <row r="11" spans="1:14" ht="15" customHeight="1">
      <c r="A11" s="1" t="s">
        <v>0</v>
      </c>
      <c r="B11" s="18" t="s">
        <v>427</v>
      </c>
      <c r="C11" s="1">
        <v>2205.4</v>
      </c>
      <c r="D11" s="47"/>
      <c r="E11" s="48"/>
      <c r="F11" s="49"/>
      <c r="G11" s="16"/>
      <c r="H11" s="17"/>
      <c r="I11" s="20"/>
      <c r="J11" s="36"/>
      <c r="K11" s="36"/>
      <c r="L11" s="36"/>
      <c r="M11" s="36"/>
      <c r="N11" s="36"/>
    </row>
    <row r="12" spans="1:14" ht="47.25">
      <c r="A12" s="1" t="s">
        <v>73</v>
      </c>
      <c r="B12" s="9" t="s">
        <v>74</v>
      </c>
      <c r="C12" s="1" t="s">
        <v>75</v>
      </c>
      <c r="D12" s="47" t="s">
        <v>0</v>
      </c>
      <c r="E12" s="48" t="s">
        <v>0</v>
      </c>
      <c r="F12" s="49" t="s">
        <v>311</v>
      </c>
      <c r="G12" s="16"/>
      <c r="I12" s="20"/>
      <c r="J12" s="36"/>
      <c r="K12" s="36"/>
      <c r="L12" s="36"/>
      <c r="M12" s="36"/>
      <c r="N12" s="36"/>
    </row>
    <row r="13" spans="1:14" ht="15" customHeight="1">
      <c r="A13" s="1" t="s">
        <v>76</v>
      </c>
      <c r="B13" s="1" t="s">
        <v>77</v>
      </c>
      <c r="C13" s="1" t="s">
        <v>78</v>
      </c>
      <c r="D13" s="47"/>
      <c r="E13" s="48"/>
      <c r="F13" s="49"/>
      <c r="G13" s="16"/>
      <c r="H13" s="17"/>
      <c r="I13" s="20"/>
      <c r="J13" s="36"/>
      <c r="K13" s="36"/>
      <c r="L13" s="36"/>
      <c r="M13" s="36"/>
      <c r="N13" s="36"/>
    </row>
    <row r="14" spans="1:14" ht="15" customHeight="1">
      <c r="A14" s="1" t="s">
        <v>79</v>
      </c>
      <c r="B14" s="1" t="s">
        <v>80</v>
      </c>
      <c r="C14" s="1" t="s">
        <v>81</v>
      </c>
      <c r="D14" s="47"/>
      <c r="E14" s="48"/>
      <c r="F14" s="49"/>
      <c r="G14" s="16"/>
      <c r="H14" s="17"/>
      <c r="I14" s="20"/>
      <c r="J14" s="36"/>
      <c r="K14" s="36"/>
      <c r="L14" s="36"/>
      <c r="M14" s="36"/>
      <c r="N14" s="36"/>
    </row>
    <row r="15" spans="1:14" ht="47.25">
      <c r="A15" s="1" t="s">
        <v>82</v>
      </c>
      <c r="B15" s="9" t="s">
        <v>83</v>
      </c>
      <c r="C15" s="1" t="s">
        <v>84</v>
      </c>
      <c r="D15" s="47" t="s">
        <v>0</v>
      </c>
      <c r="E15" s="48" t="s">
        <v>0</v>
      </c>
      <c r="F15" s="49" t="s">
        <v>311</v>
      </c>
      <c r="G15" s="16"/>
      <c r="I15" s="20"/>
      <c r="J15" s="36"/>
      <c r="K15" s="36"/>
      <c r="L15" s="36"/>
      <c r="M15" s="36"/>
      <c r="N15" s="36"/>
    </row>
    <row r="16" spans="1:14" ht="15" customHeight="1">
      <c r="A16" s="1" t="s">
        <v>72</v>
      </c>
      <c r="B16" s="1" t="s">
        <v>72</v>
      </c>
      <c r="C16" s="1" t="s">
        <v>72</v>
      </c>
      <c r="D16" s="47" t="s">
        <v>72</v>
      </c>
      <c r="E16" s="48" t="s">
        <v>72</v>
      </c>
      <c r="F16" s="49" t="s">
        <v>311</v>
      </c>
      <c r="G16" s="16"/>
      <c r="I16" s="20"/>
      <c r="J16" s="36"/>
      <c r="K16" s="36"/>
      <c r="L16" s="36"/>
      <c r="M16" s="36"/>
      <c r="N16" s="36"/>
    </row>
    <row r="17" spans="1:14" ht="15" customHeight="1">
      <c r="A17" s="1" t="s">
        <v>0</v>
      </c>
      <c r="B17" s="1" t="s">
        <v>72</v>
      </c>
      <c r="C17" s="1"/>
      <c r="D17" s="47" t="s">
        <v>0</v>
      </c>
      <c r="E17" s="48" t="s">
        <v>0</v>
      </c>
      <c r="F17" s="49" t="s">
        <v>311</v>
      </c>
      <c r="G17" s="16"/>
      <c r="I17" s="20"/>
      <c r="J17" s="36"/>
      <c r="K17" s="36"/>
      <c r="L17" s="36"/>
      <c r="M17" s="36"/>
      <c r="N17" s="36"/>
    </row>
    <row r="18" spans="1:14" ht="15" customHeight="1">
      <c r="A18" s="1" t="s">
        <v>85</v>
      </c>
      <c r="B18" s="1" t="s">
        <v>86</v>
      </c>
      <c r="C18" s="1" t="s">
        <v>87</v>
      </c>
      <c r="D18" s="47">
        <v>1657210000</v>
      </c>
      <c r="E18" s="48">
        <v>493773000</v>
      </c>
      <c r="F18" s="49">
        <v>0.5222248307396092</v>
      </c>
      <c r="G18" s="16"/>
      <c r="I18" s="20"/>
      <c r="J18" s="36"/>
      <c r="K18" s="36"/>
      <c r="L18" s="36"/>
      <c r="M18" s="36"/>
      <c r="N18" s="36"/>
    </row>
    <row r="19" spans="1:14" ht="15" customHeight="1">
      <c r="A19" s="1" t="s">
        <v>72</v>
      </c>
      <c r="B19" s="1" t="s">
        <v>72</v>
      </c>
      <c r="C19" s="1" t="s">
        <v>72</v>
      </c>
      <c r="D19" s="47" t="s">
        <v>72</v>
      </c>
      <c r="E19" s="50" t="s">
        <v>72</v>
      </c>
      <c r="F19" s="49" t="s">
        <v>311</v>
      </c>
      <c r="G19" s="16"/>
      <c r="I19" s="20"/>
      <c r="J19" s="36"/>
      <c r="K19" s="36"/>
      <c r="L19" s="36"/>
      <c r="M19" s="36"/>
      <c r="N19" s="36"/>
    </row>
    <row r="20" spans="1:14" ht="15" customHeight="1">
      <c r="A20" s="1" t="s">
        <v>0</v>
      </c>
      <c r="B20" s="1" t="s">
        <v>72</v>
      </c>
      <c r="C20" s="1"/>
      <c r="D20" s="47" t="s">
        <v>0</v>
      </c>
      <c r="E20" s="48" t="s">
        <v>0</v>
      </c>
      <c r="F20" s="49" t="s">
        <v>311</v>
      </c>
      <c r="G20" s="16"/>
      <c r="I20" s="20"/>
      <c r="J20" s="36"/>
      <c r="K20" s="36"/>
      <c r="L20" s="36"/>
      <c r="M20" s="36"/>
      <c r="N20" s="36"/>
    </row>
    <row r="21" spans="1:14" ht="15" customHeight="1">
      <c r="A21" s="1" t="s">
        <v>88</v>
      </c>
      <c r="B21" s="1" t="s">
        <v>89</v>
      </c>
      <c r="C21" s="1" t="s">
        <v>90</v>
      </c>
      <c r="D21" s="47"/>
      <c r="E21" s="48"/>
      <c r="F21" s="49"/>
      <c r="G21" s="16"/>
      <c r="H21" s="17"/>
      <c r="I21" s="20"/>
      <c r="J21" s="36"/>
      <c r="K21" s="36"/>
      <c r="L21" s="36"/>
      <c r="M21" s="36"/>
      <c r="N21" s="36"/>
    </row>
    <row r="22" spans="1:14" ht="15" customHeight="1">
      <c r="A22" s="1" t="s">
        <v>72</v>
      </c>
      <c r="B22" s="1" t="s">
        <v>72</v>
      </c>
      <c r="C22" s="1" t="s">
        <v>72</v>
      </c>
      <c r="D22" s="47" t="s">
        <v>72</v>
      </c>
      <c r="E22" s="48" t="s">
        <v>72</v>
      </c>
      <c r="F22" s="49" t="s">
        <v>311</v>
      </c>
      <c r="G22" s="16"/>
      <c r="I22" s="20"/>
      <c r="J22" s="36"/>
      <c r="K22" s="36"/>
      <c r="L22" s="36"/>
      <c r="M22" s="36"/>
      <c r="N22" s="36"/>
    </row>
    <row r="23" spans="1:14" ht="15" customHeight="1">
      <c r="A23" s="1"/>
      <c r="B23" s="1" t="s">
        <v>72</v>
      </c>
      <c r="C23" s="1"/>
      <c r="D23" s="47"/>
      <c r="E23" s="48"/>
      <c r="F23" s="49" t="s">
        <v>311</v>
      </c>
      <c r="G23" s="16"/>
      <c r="I23" s="20"/>
      <c r="J23" s="36"/>
      <c r="K23" s="36"/>
      <c r="L23" s="36"/>
      <c r="M23" s="36"/>
      <c r="N23" s="36"/>
    </row>
    <row r="24" spans="1:14" ht="15" customHeight="1">
      <c r="A24" s="1" t="s">
        <v>91</v>
      </c>
      <c r="B24" s="1" t="s">
        <v>92</v>
      </c>
      <c r="C24" s="1" t="s">
        <v>93</v>
      </c>
      <c r="D24" s="47" t="s">
        <v>0</v>
      </c>
      <c r="E24" s="48" t="s">
        <v>0</v>
      </c>
      <c r="F24" s="49" t="s">
        <v>311</v>
      </c>
      <c r="G24" s="16"/>
      <c r="I24" s="20"/>
      <c r="J24" s="36"/>
      <c r="K24" s="36"/>
      <c r="L24" s="36"/>
      <c r="M24" s="36"/>
      <c r="N24" s="36"/>
    </row>
    <row r="25" spans="1:14" ht="15" customHeight="1">
      <c r="A25" s="1" t="s">
        <v>72</v>
      </c>
      <c r="B25" s="1" t="s">
        <v>72</v>
      </c>
      <c r="C25" s="1" t="s">
        <v>72</v>
      </c>
      <c r="D25" s="47" t="s">
        <v>72</v>
      </c>
      <c r="E25" s="48" t="s">
        <v>72</v>
      </c>
      <c r="F25" s="49" t="s">
        <v>311</v>
      </c>
      <c r="G25" s="16"/>
      <c r="I25" s="20"/>
      <c r="J25" s="36"/>
      <c r="K25" s="36"/>
      <c r="L25" s="36"/>
      <c r="M25" s="36"/>
      <c r="N25" s="36"/>
    </row>
    <row r="26" spans="1:14" ht="15" customHeight="1">
      <c r="A26" s="1"/>
      <c r="B26" s="1" t="s">
        <v>72</v>
      </c>
      <c r="C26" s="1"/>
      <c r="D26" s="47"/>
      <c r="E26" s="48"/>
      <c r="F26" s="49" t="s">
        <v>311</v>
      </c>
      <c r="G26" s="16"/>
      <c r="I26" s="20"/>
      <c r="J26" s="36"/>
      <c r="K26" s="36"/>
      <c r="L26" s="36"/>
      <c r="M26" s="36"/>
      <c r="N26" s="36"/>
    </row>
    <row r="27" spans="1:14" ht="15" customHeight="1">
      <c r="A27" s="1" t="s">
        <v>94</v>
      </c>
      <c r="B27" s="1" t="s">
        <v>95</v>
      </c>
      <c r="C27" s="1" t="s">
        <v>96</v>
      </c>
      <c r="D27" s="47">
        <v>45901357529</v>
      </c>
      <c r="E27" s="48">
        <v>48368487879</v>
      </c>
      <c r="F27" s="49">
        <v>0.8913884793273782</v>
      </c>
      <c r="G27" s="16"/>
      <c r="H27" s="17"/>
      <c r="I27" s="20"/>
      <c r="J27" s="36"/>
      <c r="K27" s="36"/>
      <c r="L27" s="36"/>
      <c r="M27" s="36"/>
      <c r="N27" s="36"/>
    </row>
    <row r="28" spans="1:14" ht="15" customHeight="1">
      <c r="A28" s="1" t="s">
        <v>97</v>
      </c>
      <c r="B28" s="1" t="s">
        <v>98</v>
      </c>
      <c r="C28" s="1" t="s">
        <v>99</v>
      </c>
      <c r="D28" s="47" t="s">
        <v>0</v>
      </c>
      <c r="E28" s="48" t="s">
        <v>0</v>
      </c>
      <c r="F28" s="49"/>
      <c r="G28" s="16"/>
      <c r="I28" s="20"/>
      <c r="J28" s="36"/>
      <c r="K28" s="36"/>
      <c r="L28" s="36"/>
      <c r="M28" s="36"/>
      <c r="N28" s="36"/>
    </row>
    <row r="29" spans="1:14" ht="31.5">
      <c r="A29" s="1" t="s">
        <v>100</v>
      </c>
      <c r="B29" s="9" t="s">
        <v>101</v>
      </c>
      <c r="C29" s="1" t="s">
        <v>102</v>
      </c>
      <c r="D29" s="47" t="s">
        <v>0</v>
      </c>
      <c r="E29" s="48" t="s">
        <v>0</v>
      </c>
      <c r="F29" s="49"/>
      <c r="G29" s="16"/>
      <c r="I29" s="20"/>
      <c r="J29" s="36"/>
      <c r="K29" s="36"/>
      <c r="L29" s="36"/>
      <c r="M29" s="36"/>
      <c r="N29" s="36"/>
    </row>
    <row r="30" spans="1:14" ht="15" customHeight="1">
      <c r="A30" s="1" t="s">
        <v>72</v>
      </c>
      <c r="B30" s="1" t="s">
        <v>72</v>
      </c>
      <c r="C30" s="1" t="s">
        <v>72</v>
      </c>
      <c r="D30" s="47" t="s">
        <v>72</v>
      </c>
      <c r="E30" s="48" t="s">
        <v>72</v>
      </c>
      <c r="F30" s="49"/>
      <c r="G30" s="16"/>
      <c r="I30" s="20"/>
      <c r="J30" s="36"/>
      <c r="K30" s="36"/>
      <c r="L30" s="36"/>
      <c r="M30" s="36"/>
      <c r="N30" s="36"/>
    </row>
    <row r="31" spans="1:14" ht="15" customHeight="1">
      <c r="A31" s="1" t="s">
        <v>0</v>
      </c>
      <c r="B31" s="1" t="s">
        <v>72</v>
      </c>
      <c r="C31" s="1"/>
      <c r="D31" s="47" t="s">
        <v>0</v>
      </c>
      <c r="E31" s="48" t="s">
        <v>0</v>
      </c>
      <c r="F31" s="49"/>
      <c r="G31" s="16"/>
      <c r="I31" s="20"/>
      <c r="J31" s="36"/>
      <c r="K31" s="36"/>
      <c r="L31" s="36"/>
      <c r="M31" s="36"/>
      <c r="N31" s="36"/>
    </row>
    <row r="32" spans="1:14" ht="31.5">
      <c r="A32" s="1" t="s">
        <v>103</v>
      </c>
      <c r="B32" s="9" t="s">
        <v>104</v>
      </c>
      <c r="C32" s="1" t="s">
        <v>105</v>
      </c>
      <c r="D32" s="47">
        <v>865590000</v>
      </c>
      <c r="E32" s="48">
        <v>3288240000</v>
      </c>
      <c r="F32" s="49"/>
      <c r="G32" s="16"/>
      <c r="I32" s="20"/>
      <c r="J32" s="36"/>
      <c r="K32" s="36"/>
      <c r="L32" s="36"/>
      <c r="M32" s="36"/>
      <c r="N32" s="36"/>
    </row>
    <row r="33" spans="1:14" ht="15" customHeight="1">
      <c r="A33" s="1"/>
      <c r="B33" s="1" t="s">
        <v>106</v>
      </c>
      <c r="C33" s="1" t="s">
        <v>107</v>
      </c>
      <c r="D33" s="47">
        <v>865590000</v>
      </c>
      <c r="E33" s="48">
        <v>3288240000</v>
      </c>
      <c r="F33" s="49"/>
      <c r="G33" s="16"/>
      <c r="I33" s="20"/>
      <c r="J33" s="36"/>
      <c r="K33" s="36"/>
      <c r="L33" s="36"/>
      <c r="M33" s="36"/>
      <c r="N33" s="36"/>
    </row>
    <row r="34" spans="1:14" ht="15" customHeight="1">
      <c r="A34" s="1"/>
      <c r="B34" s="1" t="s">
        <v>108</v>
      </c>
      <c r="C34" s="1" t="s">
        <v>109</v>
      </c>
      <c r="D34" s="47"/>
      <c r="E34" s="48"/>
      <c r="F34" s="49"/>
      <c r="G34" s="16"/>
      <c r="I34" s="20"/>
      <c r="J34" s="36"/>
      <c r="K34" s="36"/>
      <c r="L34" s="36"/>
      <c r="M34" s="36"/>
      <c r="N34" s="36"/>
    </row>
    <row r="35" spans="1:14" ht="15" customHeight="1">
      <c r="A35" s="1" t="s">
        <v>72</v>
      </c>
      <c r="B35" s="1" t="s">
        <v>72</v>
      </c>
      <c r="C35" s="1" t="s">
        <v>72</v>
      </c>
      <c r="D35" s="47" t="s">
        <v>72</v>
      </c>
      <c r="E35" s="48" t="s">
        <v>72</v>
      </c>
      <c r="F35" s="49" t="s">
        <v>311</v>
      </c>
      <c r="G35" s="16"/>
      <c r="I35" s="20"/>
      <c r="J35" s="36"/>
      <c r="K35" s="36"/>
      <c r="L35" s="36"/>
      <c r="M35" s="36"/>
      <c r="N35" s="36"/>
    </row>
    <row r="36" spans="1:14" ht="15" customHeight="1">
      <c r="A36" s="1" t="s">
        <v>0</v>
      </c>
      <c r="B36" s="1" t="s">
        <v>72</v>
      </c>
      <c r="C36" s="1"/>
      <c r="D36" s="47" t="s">
        <v>0</v>
      </c>
      <c r="E36" s="48" t="s">
        <v>0</v>
      </c>
      <c r="F36" s="49" t="s">
        <v>311</v>
      </c>
      <c r="G36" s="16"/>
      <c r="I36" s="20"/>
      <c r="J36" s="36"/>
      <c r="K36" s="36"/>
      <c r="L36" s="36"/>
      <c r="M36" s="36"/>
      <c r="N36" s="36"/>
    </row>
    <row r="37" spans="1:14" ht="15" customHeight="1">
      <c r="A37" s="1" t="s">
        <v>110</v>
      </c>
      <c r="B37" s="1" t="s">
        <v>111</v>
      </c>
      <c r="C37" s="1" t="s">
        <v>112</v>
      </c>
      <c r="D37" s="47">
        <v>170068054</v>
      </c>
      <c r="E37" s="48">
        <v>191305208</v>
      </c>
      <c r="F37" s="49">
        <v>1.0063074251048</v>
      </c>
      <c r="G37" s="16"/>
      <c r="H37" s="17"/>
      <c r="I37" s="20"/>
      <c r="J37" s="36"/>
      <c r="K37" s="36"/>
      <c r="L37" s="36"/>
      <c r="M37" s="36"/>
      <c r="N37" s="36"/>
    </row>
    <row r="38" spans="1:14" ht="15" customHeight="1">
      <c r="A38" s="1" t="s">
        <v>72</v>
      </c>
      <c r="B38" s="1" t="s">
        <v>72</v>
      </c>
      <c r="C38" s="1" t="s">
        <v>72</v>
      </c>
      <c r="D38" s="47" t="s">
        <v>72</v>
      </c>
      <c r="E38" s="48" t="s">
        <v>72</v>
      </c>
      <c r="F38" s="49" t="s">
        <v>311</v>
      </c>
      <c r="G38" s="16"/>
      <c r="I38" s="20"/>
      <c r="J38" s="36"/>
      <c r="K38" s="36"/>
      <c r="L38" s="36"/>
      <c r="M38" s="36"/>
      <c r="N38" s="36"/>
    </row>
    <row r="39" spans="1:14" ht="15" customHeight="1">
      <c r="A39" s="1"/>
      <c r="B39" s="1" t="s">
        <v>72</v>
      </c>
      <c r="C39" s="1"/>
      <c r="D39" s="47"/>
      <c r="E39" s="48"/>
      <c r="F39" s="49" t="s">
        <v>311</v>
      </c>
      <c r="G39" s="16"/>
      <c r="I39" s="20"/>
      <c r="J39" s="36"/>
      <c r="K39" s="36"/>
      <c r="L39" s="36"/>
      <c r="M39" s="36"/>
      <c r="N39" s="36"/>
    </row>
    <row r="40" spans="1:14" ht="15" customHeight="1">
      <c r="A40" s="1" t="s">
        <v>113</v>
      </c>
      <c r="B40" s="1" t="s">
        <v>114</v>
      </c>
      <c r="C40" s="1" t="s">
        <v>115</v>
      </c>
      <c r="D40" s="47">
        <v>1035658054</v>
      </c>
      <c r="E40" s="48">
        <v>3479545208</v>
      </c>
      <c r="F40" s="49">
        <v>6.128078525610625</v>
      </c>
      <c r="G40" s="16"/>
      <c r="H40" s="17"/>
      <c r="I40" s="20"/>
      <c r="J40" s="36"/>
      <c r="K40" s="36"/>
      <c r="L40" s="36"/>
      <c r="M40" s="36"/>
      <c r="N40" s="36"/>
    </row>
    <row r="41" spans="1:14" ht="31.5">
      <c r="A41" s="1" t="s">
        <v>0</v>
      </c>
      <c r="B41" s="9" t="s">
        <v>116</v>
      </c>
      <c r="C41" s="1" t="s">
        <v>117</v>
      </c>
      <c r="D41" s="47">
        <v>44865699475</v>
      </c>
      <c r="E41" s="48">
        <v>44888942671</v>
      </c>
      <c r="F41" s="49">
        <v>0.8741452698845689</v>
      </c>
      <c r="G41" s="16"/>
      <c r="H41" s="17"/>
      <c r="I41" s="20"/>
      <c r="J41" s="36"/>
      <c r="K41" s="36"/>
      <c r="L41" s="36"/>
      <c r="M41" s="36"/>
      <c r="N41" s="36"/>
    </row>
    <row r="42" spans="1:14" ht="15.75">
      <c r="A42" s="1" t="s">
        <v>0</v>
      </c>
      <c r="B42" s="9" t="s">
        <v>118</v>
      </c>
      <c r="C42" s="1" t="s">
        <v>119</v>
      </c>
      <c r="D42" s="47">
        <v>5000000</v>
      </c>
      <c r="E42" s="48">
        <v>5000000</v>
      </c>
      <c r="F42" s="49">
        <v>1</v>
      </c>
      <c r="G42" s="16"/>
      <c r="H42" s="17"/>
      <c r="I42" s="20"/>
      <c r="J42" s="36"/>
      <c r="K42" s="36"/>
      <c r="L42" s="36"/>
      <c r="M42" s="36"/>
      <c r="N42" s="36"/>
    </row>
    <row r="43" spans="1:14" ht="31.5">
      <c r="A43" s="1" t="s">
        <v>0</v>
      </c>
      <c r="B43" s="9" t="s">
        <v>120</v>
      </c>
      <c r="C43" s="1" t="s">
        <v>121</v>
      </c>
      <c r="D43" s="51">
        <v>8973.13</v>
      </c>
      <c r="E43" s="52">
        <v>8977.78</v>
      </c>
      <c r="F43" s="49">
        <v>0.8741446696749353</v>
      </c>
      <c r="G43" s="16"/>
      <c r="H43" s="17"/>
      <c r="I43" s="20"/>
      <c r="J43" s="36"/>
      <c r="K43" s="36"/>
      <c r="L43" s="36"/>
      <c r="M43" s="36"/>
      <c r="N43" s="36"/>
    </row>
    <row r="44" spans="1:12" ht="15" customHeight="1">
      <c r="A44" s="3" t="s">
        <v>0</v>
      </c>
      <c r="B44" s="3" t="s">
        <v>0</v>
      </c>
      <c r="C44" s="3" t="s">
        <v>0</v>
      </c>
      <c r="D44" s="6" t="s">
        <v>0</v>
      </c>
      <c r="E44" s="38" t="s">
        <v>0</v>
      </c>
      <c r="F44" s="40" t="s">
        <v>0</v>
      </c>
      <c r="J44" s="36"/>
      <c r="K44" s="36"/>
      <c r="L44" s="36"/>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zoomScalePageLayoutView="0" workbookViewId="0" topLeftCell="A1">
      <selection activeCell="F20" sqref="F20"/>
    </sheetView>
  </sheetViews>
  <sheetFormatPr defaultColWidth="9.140625" defaultRowHeight="12.75"/>
  <cols>
    <col min="1" max="1" width="6.8515625" style="0" customWidth="1"/>
    <col min="2" max="2" width="46.57421875" style="0" customWidth="1"/>
    <col min="3" max="3" width="10.28125" style="0" customWidth="1"/>
    <col min="4" max="6" width="23.8515625" style="14" customWidth="1"/>
    <col min="9" max="9" width="12.28125" style="0" bestFit="1" customWidth="1"/>
  </cols>
  <sheetData>
    <row r="1" spans="1:6" ht="15" customHeight="1">
      <c r="A1" s="2" t="s">
        <v>54</v>
      </c>
      <c r="B1" s="2" t="s">
        <v>122</v>
      </c>
      <c r="C1" s="2" t="s">
        <v>55</v>
      </c>
      <c r="D1" s="12" t="s">
        <v>56</v>
      </c>
      <c r="E1" s="12" t="s">
        <v>57</v>
      </c>
      <c r="F1" s="12" t="s">
        <v>123</v>
      </c>
    </row>
    <row r="2" spans="1:10" ht="15" customHeight="1">
      <c r="A2" s="4" t="s">
        <v>59</v>
      </c>
      <c r="B2" s="4" t="s">
        <v>124</v>
      </c>
      <c r="C2" s="4" t="s">
        <v>125</v>
      </c>
      <c r="D2" s="53">
        <v>446034</v>
      </c>
      <c r="E2" s="53">
        <v>1160945</v>
      </c>
      <c r="F2" s="53">
        <v>134753557</v>
      </c>
      <c r="I2" s="17"/>
      <c r="J2" s="17"/>
    </row>
    <row r="3" spans="1:10" ht="31.5">
      <c r="A3" s="1" t="s">
        <v>9</v>
      </c>
      <c r="B3" s="9" t="s">
        <v>126</v>
      </c>
      <c r="C3" s="1" t="s">
        <v>127</v>
      </c>
      <c r="D3" s="54"/>
      <c r="E3" s="54"/>
      <c r="F3" s="54"/>
      <c r="I3" s="17"/>
      <c r="J3" s="17"/>
    </row>
    <row r="4" spans="1:10" ht="15" customHeight="1">
      <c r="A4" s="1" t="s">
        <v>18</v>
      </c>
      <c r="B4" s="1" t="s">
        <v>77</v>
      </c>
      <c r="C4" s="1" t="s">
        <v>128</v>
      </c>
      <c r="D4" s="54"/>
      <c r="E4" s="54"/>
      <c r="F4" s="54">
        <v>129310860</v>
      </c>
      <c r="I4" s="17"/>
      <c r="J4" s="17"/>
    </row>
    <row r="5" spans="1:10" ht="15" customHeight="1">
      <c r="A5" s="1" t="s">
        <v>21</v>
      </c>
      <c r="B5" s="1" t="s">
        <v>80</v>
      </c>
      <c r="C5" s="1" t="s">
        <v>129</v>
      </c>
      <c r="D5" s="54">
        <v>446034</v>
      </c>
      <c r="E5" s="54">
        <v>1160945</v>
      </c>
      <c r="F5" s="54">
        <v>5442697</v>
      </c>
      <c r="I5" s="17"/>
      <c r="J5" s="17"/>
    </row>
    <row r="6" spans="1:10" ht="15" customHeight="1">
      <c r="A6" s="1" t="s">
        <v>24</v>
      </c>
      <c r="B6" s="1" t="s">
        <v>130</v>
      </c>
      <c r="C6" s="1" t="s">
        <v>131</v>
      </c>
      <c r="D6" s="54"/>
      <c r="E6" s="54"/>
      <c r="F6" s="54"/>
      <c r="I6" s="17"/>
      <c r="J6" s="17"/>
    </row>
    <row r="7" spans="1:10" ht="15" customHeight="1">
      <c r="A7" s="4" t="s">
        <v>132</v>
      </c>
      <c r="B7" s="4" t="s">
        <v>133</v>
      </c>
      <c r="C7" s="4" t="s">
        <v>134</v>
      </c>
      <c r="D7" s="55">
        <v>136614230</v>
      </c>
      <c r="E7" s="55">
        <v>196337291</v>
      </c>
      <c r="F7" s="55">
        <v>1065006017</v>
      </c>
      <c r="I7" s="17"/>
      <c r="J7" s="17"/>
    </row>
    <row r="8" spans="1:10" ht="15" customHeight="1">
      <c r="A8" s="1" t="s">
        <v>9</v>
      </c>
      <c r="B8" s="1" t="s">
        <v>135</v>
      </c>
      <c r="C8" s="1" t="s">
        <v>136</v>
      </c>
      <c r="D8" s="56">
        <v>57906913</v>
      </c>
      <c r="E8" s="56">
        <v>56232376</v>
      </c>
      <c r="F8" s="56">
        <v>408766569</v>
      </c>
      <c r="I8" s="17"/>
      <c r="J8" s="17"/>
    </row>
    <row r="9" spans="1:10" ht="15" customHeight="1">
      <c r="A9" s="1" t="s">
        <v>12</v>
      </c>
      <c r="B9" s="18" t="s">
        <v>408</v>
      </c>
      <c r="C9" s="1" t="s">
        <v>137</v>
      </c>
      <c r="D9" s="56">
        <v>10765898</v>
      </c>
      <c r="E9" s="56">
        <v>10834173</v>
      </c>
      <c r="F9" s="56">
        <v>76044468</v>
      </c>
      <c r="I9" s="17"/>
      <c r="J9" s="17"/>
    </row>
    <row r="10" spans="1:10" ht="63">
      <c r="A10" s="1" t="s">
        <v>15</v>
      </c>
      <c r="B10" s="9" t="s">
        <v>138</v>
      </c>
      <c r="C10" s="1" t="s">
        <v>139</v>
      </c>
      <c r="D10" s="56">
        <v>16500000</v>
      </c>
      <c r="E10" s="56">
        <v>16500000</v>
      </c>
      <c r="F10" s="56">
        <v>115500000</v>
      </c>
      <c r="I10" s="17"/>
      <c r="J10" s="17"/>
    </row>
    <row r="11" spans="1:10" ht="15" customHeight="1">
      <c r="A11" s="1" t="s">
        <v>18</v>
      </c>
      <c r="B11" s="1" t="s">
        <v>140</v>
      </c>
      <c r="C11" s="1" t="s">
        <v>141</v>
      </c>
      <c r="D11" s="56"/>
      <c r="E11" s="56"/>
      <c r="F11" s="56"/>
      <c r="I11" s="17"/>
      <c r="J11" s="17"/>
    </row>
    <row r="12" spans="1:10" ht="15" customHeight="1">
      <c r="A12" s="1" t="s">
        <v>21</v>
      </c>
      <c r="B12" s="1" t="s">
        <v>142</v>
      </c>
      <c r="C12" s="1" t="s">
        <v>143</v>
      </c>
      <c r="D12" s="56"/>
      <c r="E12" s="56"/>
      <c r="F12" s="56"/>
      <c r="I12" s="17"/>
      <c r="J12" s="17"/>
    </row>
    <row r="13" spans="1:10" ht="15" customHeight="1">
      <c r="A13" s="1" t="s">
        <v>24</v>
      </c>
      <c r="B13" s="1" t="s">
        <v>144</v>
      </c>
      <c r="C13" s="1" t="s">
        <v>145</v>
      </c>
      <c r="D13" s="56">
        <v>9423163</v>
      </c>
      <c r="E13" s="56">
        <v>55931040</v>
      </c>
      <c r="F13" s="56">
        <v>65354203</v>
      </c>
      <c r="I13" s="17"/>
      <c r="J13" s="17"/>
    </row>
    <row r="14" spans="1:10" ht="47.25">
      <c r="A14" s="1" t="s">
        <v>27</v>
      </c>
      <c r="B14" s="9" t="s">
        <v>146</v>
      </c>
      <c r="C14" s="1" t="s">
        <v>147</v>
      </c>
      <c r="D14" s="56">
        <v>15000000</v>
      </c>
      <c r="E14" s="56">
        <v>15000000</v>
      </c>
      <c r="F14" s="56">
        <v>105000000</v>
      </c>
      <c r="I14" s="17"/>
      <c r="J14" s="17"/>
    </row>
    <row r="15" spans="1:10" ht="78.75">
      <c r="A15" s="1" t="s">
        <v>30</v>
      </c>
      <c r="B15" s="9" t="s">
        <v>148</v>
      </c>
      <c r="C15" s="1" t="s">
        <v>149</v>
      </c>
      <c r="D15" s="56"/>
      <c r="E15" s="56"/>
      <c r="F15" s="56"/>
      <c r="I15" s="17"/>
      <c r="J15" s="17"/>
    </row>
    <row r="16" spans="1:10" ht="31.5">
      <c r="A16" s="1" t="s">
        <v>33</v>
      </c>
      <c r="B16" s="10" t="s">
        <v>390</v>
      </c>
      <c r="C16" s="1" t="s">
        <v>150</v>
      </c>
      <c r="D16" s="56">
        <v>26966285</v>
      </c>
      <c r="E16" s="56">
        <v>41826698</v>
      </c>
      <c r="F16" s="56">
        <v>278153702</v>
      </c>
      <c r="I16" s="17"/>
      <c r="J16" s="17"/>
    </row>
    <row r="17" spans="1:10" ht="15" customHeight="1">
      <c r="A17" s="1" t="s">
        <v>36</v>
      </c>
      <c r="B17" s="1" t="s">
        <v>151</v>
      </c>
      <c r="C17" s="1" t="s">
        <v>152</v>
      </c>
      <c r="D17" s="56">
        <v>51971</v>
      </c>
      <c r="E17" s="56">
        <v>13004</v>
      </c>
      <c r="F17" s="56">
        <v>16187075</v>
      </c>
      <c r="I17" s="17"/>
      <c r="J17" s="17"/>
    </row>
    <row r="18" spans="1:10" ht="15" customHeight="1">
      <c r="A18" s="1" t="s">
        <v>72</v>
      </c>
      <c r="B18" s="1" t="s">
        <v>72</v>
      </c>
      <c r="C18" s="1" t="s">
        <v>72</v>
      </c>
      <c r="D18" s="56"/>
      <c r="E18" s="56"/>
      <c r="F18" s="56"/>
      <c r="I18" s="17"/>
      <c r="J18" s="17"/>
    </row>
    <row r="19" spans="1:10" ht="15" customHeight="1">
      <c r="A19" s="1" t="s">
        <v>0</v>
      </c>
      <c r="B19" s="1" t="s">
        <v>391</v>
      </c>
      <c r="C19" s="1" t="s">
        <v>392</v>
      </c>
      <c r="D19" s="56"/>
      <c r="E19" s="56"/>
      <c r="F19" s="56"/>
      <c r="I19" s="17"/>
      <c r="J19" s="17"/>
    </row>
    <row r="20" spans="1:10" ht="15" customHeight="1">
      <c r="A20" s="1" t="s">
        <v>0</v>
      </c>
      <c r="B20" s="1" t="s">
        <v>393</v>
      </c>
      <c r="C20" s="1" t="s">
        <v>394</v>
      </c>
      <c r="D20" s="56">
        <v>51971</v>
      </c>
      <c r="E20" s="56">
        <v>13004</v>
      </c>
      <c r="F20" s="56">
        <v>16187075</v>
      </c>
      <c r="I20" s="17"/>
      <c r="J20" s="17"/>
    </row>
    <row r="21" spans="1:10" ht="15" customHeight="1">
      <c r="A21" s="4" t="s">
        <v>153</v>
      </c>
      <c r="B21" s="4" t="s">
        <v>154</v>
      </c>
      <c r="C21" s="4" t="s">
        <v>155</v>
      </c>
      <c r="D21" s="53">
        <v>-136168196</v>
      </c>
      <c r="E21" s="53">
        <v>-195176346</v>
      </c>
      <c r="F21" s="53">
        <v>-930252460</v>
      </c>
      <c r="I21" s="17"/>
      <c r="J21" s="17"/>
    </row>
    <row r="22" spans="1:10" ht="15" customHeight="1">
      <c r="A22" s="15" t="s">
        <v>156</v>
      </c>
      <c r="B22" s="15" t="s">
        <v>157</v>
      </c>
      <c r="C22" s="15" t="s">
        <v>158</v>
      </c>
      <c r="D22" s="55">
        <v>112925000</v>
      </c>
      <c r="E22" s="55">
        <v>-1336054400</v>
      </c>
      <c r="F22" s="55">
        <v>-883617400</v>
      </c>
      <c r="I22" s="17"/>
      <c r="J22" s="17"/>
    </row>
    <row r="23" spans="1:10" ht="31.5">
      <c r="A23" s="1" t="s">
        <v>9</v>
      </c>
      <c r="B23" s="9" t="s">
        <v>159</v>
      </c>
      <c r="C23" s="1" t="s">
        <v>160</v>
      </c>
      <c r="D23" s="56">
        <v>-861425000</v>
      </c>
      <c r="E23" s="56">
        <v>-483300246</v>
      </c>
      <c r="F23" s="56">
        <v>1777904521</v>
      </c>
      <c r="I23" s="17"/>
      <c r="J23" s="17"/>
    </row>
    <row r="24" spans="1:10" ht="15" customHeight="1">
      <c r="A24" s="1" t="s">
        <v>12</v>
      </c>
      <c r="B24" s="1" t="s">
        <v>161</v>
      </c>
      <c r="C24" s="1" t="s">
        <v>162</v>
      </c>
      <c r="D24" s="56">
        <v>974350000</v>
      </c>
      <c r="E24" s="56">
        <v>-852754154</v>
      </c>
      <c r="F24" s="56">
        <v>-2661521921</v>
      </c>
      <c r="I24" s="17"/>
      <c r="J24" s="17"/>
    </row>
    <row r="25" spans="1:10" ht="31.5">
      <c r="A25" s="4" t="s">
        <v>163</v>
      </c>
      <c r="B25" s="11" t="s">
        <v>164</v>
      </c>
      <c r="C25" s="4" t="s">
        <v>165</v>
      </c>
      <c r="D25" s="53">
        <v>-23243196</v>
      </c>
      <c r="E25" s="53">
        <v>-1531230746</v>
      </c>
      <c r="F25" s="53">
        <v>-1813869860</v>
      </c>
      <c r="I25" s="17"/>
      <c r="J25" s="17"/>
    </row>
    <row r="26" spans="1:10" ht="15" customHeight="1">
      <c r="A26" s="4" t="s">
        <v>166</v>
      </c>
      <c r="B26" s="4" t="s">
        <v>167</v>
      </c>
      <c r="C26" s="4" t="s">
        <v>168</v>
      </c>
      <c r="D26" s="53">
        <v>44888942671</v>
      </c>
      <c r="E26" s="53">
        <v>46420173417</v>
      </c>
      <c r="F26" s="53">
        <v>46679569335</v>
      </c>
      <c r="I26" s="17"/>
      <c r="J26" s="17"/>
    </row>
    <row r="27" spans="1:10" ht="31.5">
      <c r="A27" s="4" t="s">
        <v>169</v>
      </c>
      <c r="B27" s="11" t="s">
        <v>170</v>
      </c>
      <c r="C27" s="4" t="s">
        <v>171</v>
      </c>
      <c r="D27" s="53">
        <v>-23243196</v>
      </c>
      <c r="E27" s="53">
        <v>-1531230746</v>
      </c>
      <c r="F27" s="53">
        <v>-1813869860</v>
      </c>
      <c r="I27" s="17"/>
      <c r="J27" s="17"/>
    </row>
    <row r="28" spans="1:10" ht="15" customHeight="1">
      <c r="A28" s="1" t="s">
        <v>0</v>
      </c>
      <c r="B28" s="1" t="s">
        <v>172</v>
      </c>
      <c r="C28" s="1" t="s">
        <v>173</v>
      </c>
      <c r="D28" s="56"/>
      <c r="E28" s="56"/>
      <c r="F28" s="56"/>
      <c r="I28" s="17"/>
      <c r="J28" s="17"/>
    </row>
    <row r="29" spans="1:10" ht="31.5">
      <c r="A29" s="1" t="s">
        <v>9</v>
      </c>
      <c r="B29" s="9" t="s">
        <v>174</v>
      </c>
      <c r="C29" s="1" t="s">
        <v>175</v>
      </c>
      <c r="D29" s="56">
        <v>-23243196</v>
      </c>
      <c r="E29" s="56">
        <v>-1531230746</v>
      </c>
      <c r="F29" s="56">
        <v>-1813869860</v>
      </c>
      <c r="I29" s="17"/>
      <c r="J29" s="17"/>
    </row>
    <row r="30" spans="1:10" ht="31.5">
      <c r="A30" s="1" t="s">
        <v>12</v>
      </c>
      <c r="B30" s="9" t="s">
        <v>176</v>
      </c>
      <c r="C30" s="1" t="s">
        <v>177</v>
      </c>
      <c r="D30" s="54"/>
      <c r="E30" s="56"/>
      <c r="F30" s="56"/>
      <c r="I30" s="17"/>
      <c r="J30" s="17"/>
    </row>
    <row r="31" spans="1:10" ht="31.5">
      <c r="A31" s="1" t="s">
        <v>15</v>
      </c>
      <c r="B31" s="9" t="s">
        <v>178</v>
      </c>
      <c r="C31" s="1" t="s">
        <v>179</v>
      </c>
      <c r="D31" s="56"/>
      <c r="E31" s="56"/>
      <c r="F31" s="56"/>
      <c r="I31" s="17"/>
      <c r="J31" s="17"/>
    </row>
    <row r="32" spans="1:10" ht="15" customHeight="1">
      <c r="A32" s="4" t="s">
        <v>180</v>
      </c>
      <c r="B32" s="4" t="s">
        <v>181</v>
      </c>
      <c r="C32" s="4" t="s">
        <v>182</v>
      </c>
      <c r="D32" s="53">
        <v>44865699475</v>
      </c>
      <c r="E32" s="53">
        <v>44888942671</v>
      </c>
      <c r="F32" s="53">
        <v>44865699475</v>
      </c>
      <c r="I32" s="17"/>
      <c r="J32" s="17"/>
    </row>
    <row r="33" spans="1:6" ht="31.5">
      <c r="A33" s="4" t="s">
        <v>183</v>
      </c>
      <c r="B33" s="11" t="s">
        <v>184</v>
      </c>
      <c r="C33" s="4" t="s">
        <v>185</v>
      </c>
      <c r="D33" s="53"/>
      <c r="E33" s="53"/>
      <c r="F33" s="53"/>
    </row>
    <row r="34" spans="1:6" ht="15" customHeight="1">
      <c r="A34" s="1" t="s">
        <v>0</v>
      </c>
      <c r="B34" s="1" t="s">
        <v>186</v>
      </c>
      <c r="C34" s="1" t="s">
        <v>187</v>
      </c>
      <c r="D34" s="56" t="s">
        <v>0</v>
      </c>
      <c r="E34" s="56" t="s">
        <v>0</v>
      </c>
      <c r="F34" s="56"/>
    </row>
    <row r="35" spans="1:6" ht="15" customHeight="1">
      <c r="A35" s="3" t="s">
        <v>0</v>
      </c>
      <c r="B35" s="3" t="s">
        <v>0</v>
      </c>
      <c r="C35" s="3" t="s">
        <v>0</v>
      </c>
      <c r="D35" s="13" t="s">
        <v>0</v>
      </c>
      <c r="E35" s="13" t="s">
        <v>0</v>
      </c>
      <c r="F35" s="13" t="s">
        <v>0</v>
      </c>
    </row>
  </sheetData>
  <sheetProtection/>
  <printOptions/>
  <pageMargins left="0.75" right="0.75" top="1" bottom="1" header="0.5" footer="0.5"/>
  <pageSetup fitToHeight="1" fitToWidth="1"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M47"/>
  <sheetViews>
    <sheetView zoomScalePageLayoutView="0" workbookViewId="0" topLeftCell="A1">
      <selection activeCell="D5" sqref="D5"/>
    </sheetView>
  </sheetViews>
  <sheetFormatPr defaultColWidth="9.140625" defaultRowHeight="12.75"/>
  <cols>
    <col min="1" max="1" width="6.8515625" style="0" customWidth="1"/>
    <col min="2" max="2" width="32.140625" style="0" customWidth="1"/>
    <col min="3" max="3" width="10.28125" style="0" customWidth="1"/>
    <col min="4" max="4" width="18.57421875" style="0" customWidth="1"/>
    <col min="5" max="5" width="26.421875" style="0" customWidth="1"/>
    <col min="6" max="6" width="20.421875" style="0" customWidth="1"/>
    <col min="7" max="7" width="28.8515625" style="0" customWidth="1"/>
    <col min="12" max="12" width="12.140625" style="0" bestFit="1" customWidth="1"/>
  </cols>
  <sheetData>
    <row r="1" spans="1:7" ht="31.5">
      <c r="A1" s="2" t="s">
        <v>54</v>
      </c>
      <c r="B1" s="2" t="s">
        <v>188</v>
      </c>
      <c r="C1" s="2" t="s">
        <v>55</v>
      </c>
      <c r="D1" s="2" t="s">
        <v>189</v>
      </c>
      <c r="E1" s="2" t="s">
        <v>190</v>
      </c>
      <c r="F1" s="2" t="s">
        <v>191</v>
      </c>
      <c r="G1" s="2" t="s">
        <v>192</v>
      </c>
    </row>
    <row r="2" spans="1:7" ht="47.25">
      <c r="A2" s="1" t="s">
        <v>59</v>
      </c>
      <c r="B2" s="43" t="s">
        <v>193</v>
      </c>
      <c r="C2" s="44" t="s">
        <v>194</v>
      </c>
      <c r="D2" s="44" t="s">
        <v>0</v>
      </c>
      <c r="E2" s="44" t="s">
        <v>0</v>
      </c>
      <c r="F2" s="44" t="s">
        <v>0</v>
      </c>
      <c r="G2" s="44" t="s">
        <v>0</v>
      </c>
    </row>
    <row r="3" spans="1:7" ht="15" customHeight="1">
      <c r="A3" s="1" t="s">
        <v>72</v>
      </c>
      <c r="B3" s="44" t="s">
        <v>72</v>
      </c>
      <c r="C3" s="44" t="s">
        <v>72</v>
      </c>
      <c r="D3" s="44" t="s">
        <v>72</v>
      </c>
      <c r="E3" s="44" t="s">
        <v>72</v>
      </c>
      <c r="F3" s="44" t="s">
        <v>72</v>
      </c>
      <c r="G3" s="44" t="s">
        <v>72</v>
      </c>
    </row>
    <row r="4" spans="1:7" ht="15" customHeight="1">
      <c r="A4" s="1" t="s">
        <v>0</v>
      </c>
      <c r="B4" s="44" t="s">
        <v>195</v>
      </c>
      <c r="C4" s="44" t="s">
        <v>196</v>
      </c>
      <c r="D4" s="44" t="s">
        <v>0</v>
      </c>
      <c r="E4" s="44" t="s">
        <v>0</v>
      </c>
      <c r="F4" s="44" t="s">
        <v>0</v>
      </c>
      <c r="G4" s="44" t="s">
        <v>0</v>
      </c>
    </row>
    <row r="5" spans="1:7" ht="31.5">
      <c r="A5" s="1" t="s">
        <v>132</v>
      </c>
      <c r="B5" s="43" t="s">
        <v>197</v>
      </c>
      <c r="C5" s="44" t="s">
        <v>179</v>
      </c>
      <c r="D5" s="44" t="s">
        <v>0</v>
      </c>
      <c r="E5" s="44" t="s">
        <v>0</v>
      </c>
      <c r="F5" s="44" t="s">
        <v>0</v>
      </c>
      <c r="G5" s="44" t="s">
        <v>0</v>
      </c>
    </row>
    <row r="6" spans="1:7" ht="15" customHeight="1">
      <c r="A6" s="1" t="s">
        <v>72</v>
      </c>
      <c r="B6" s="44" t="s">
        <v>72</v>
      </c>
      <c r="C6" s="44" t="s">
        <v>72</v>
      </c>
      <c r="D6" s="44" t="s">
        <v>72</v>
      </c>
      <c r="E6" s="44" t="s">
        <v>72</v>
      </c>
      <c r="F6" s="44" t="s">
        <v>72</v>
      </c>
      <c r="G6" s="44" t="s">
        <v>72</v>
      </c>
    </row>
    <row r="7" spans="1:13" ht="15" customHeight="1">
      <c r="A7" s="1"/>
      <c r="B7" s="64" t="s">
        <v>429</v>
      </c>
      <c r="C7" s="57" t="s">
        <v>395</v>
      </c>
      <c r="D7" s="47">
        <v>148000</v>
      </c>
      <c r="E7" s="47">
        <v>73000</v>
      </c>
      <c r="F7" s="47">
        <v>10804000000</v>
      </c>
      <c r="G7" s="58">
        <v>0.23537430223439787</v>
      </c>
      <c r="I7" s="20"/>
      <c r="J7" s="20"/>
      <c r="K7" s="20"/>
      <c r="L7" s="20"/>
      <c r="M7" s="20"/>
    </row>
    <row r="8" spans="1:13" ht="15" customHeight="1">
      <c r="A8" s="1"/>
      <c r="B8" s="64" t="s">
        <v>432</v>
      </c>
      <c r="C8" s="57" t="s">
        <v>396</v>
      </c>
      <c r="D8" s="47">
        <v>29100</v>
      </c>
      <c r="E8" s="47">
        <v>65000</v>
      </c>
      <c r="F8" s="47">
        <v>1891500000</v>
      </c>
      <c r="G8" s="58">
        <v>0.041207931569452384</v>
      </c>
      <c r="I8" s="20"/>
      <c r="J8" s="20"/>
      <c r="K8" s="20"/>
      <c r="L8" s="20"/>
      <c r="M8" s="20"/>
    </row>
    <row r="9" spans="1:13" ht="15" customHeight="1">
      <c r="A9" s="1"/>
      <c r="B9" s="64" t="s">
        <v>420</v>
      </c>
      <c r="C9" s="57" t="s">
        <v>410</v>
      </c>
      <c r="D9" s="47">
        <v>209140</v>
      </c>
      <c r="E9" s="47">
        <v>41150</v>
      </c>
      <c r="F9" s="47">
        <v>8606111000</v>
      </c>
      <c r="G9" s="58">
        <v>0.1874914264695276</v>
      </c>
      <c r="I9" s="20"/>
      <c r="J9" s="20"/>
      <c r="K9" s="20"/>
      <c r="L9" s="20"/>
      <c r="M9" s="20"/>
    </row>
    <row r="10" spans="1:13" ht="15" customHeight="1">
      <c r="A10" s="1"/>
      <c r="B10" s="64" t="s">
        <v>430</v>
      </c>
      <c r="C10" s="57" t="s">
        <v>413</v>
      </c>
      <c r="D10" s="47">
        <v>15900</v>
      </c>
      <c r="E10" s="47">
        <v>25600</v>
      </c>
      <c r="F10" s="47">
        <v>407040000</v>
      </c>
      <c r="G10" s="58">
        <v>0.00886771158658731</v>
      </c>
      <c r="I10" s="20"/>
      <c r="J10" s="20"/>
      <c r="K10" s="20"/>
      <c r="L10" s="20"/>
      <c r="M10" s="20"/>
    </row>
    <row r="11" spans="1:13" ht="15" customHeight="1">
      <c r="A11" s="1"/>
      <c r="B11" s="64" t="s">
        <v>433</v>
      </c>
      <c r="C11" s="57" t="s">
        <v>414</v>
      </c>
      <c r="D11" s="47">
        <v>70200</v>
      </c>
      <c r="E11" s="47">
        <v>28900</v>
      </c>
      <c r="F11" s="47">
        <v>2028780000</v>
      </c>
      <c r="G11" s="58">
        <v>0.04419869278851367</v>
      </c>
      <c r="I11" s="20"/>
      <c r="J11" s="20"/>
      <c r="K11" s="20"/>
      <c r="L11" s="20"/>
      <c r="M11" s="20"/>
    </row>
    <row r="12" spans="1:13" ht="15" customHeight="1">
      <c r="A12" s="1"/>
      <c r="B12" s="64" t="s">
        <v>426</v>
      </c>
      <c r="C12" s="57" t="s">
        <v>415</v>
      </c>
      <c r="D12" s="47">
        <v>484000</v>
      </c>
      <c r="E12" s="47">
        <v>36700</v>
      </c>
      <c r="F12" s="47">
        <v>17762800000</v>
      </c>
      <c r="G12" s="58">
        <v>0.386977661581744</v>
      </c>
      <c r="I12" s="20"/>
      <c r="J12" s="20"/>
      <c r="K12" s="20"/>
      <c r="L12" s="20"/>
      <c r="M12" s="20"/>
    </row>
    <row r="13" spans="1:13" ht="15.75" hidden="1">
      <c r="A13" s="1"/>
      <c r="B13" s="64"/>
      <c r="C13" s="57" t="s">
        <v>416</v>
      </c>
      <c r="D13" s="47"/>
      <c r="E13" s="47"/>
      <c r="F13" s="47"/>
      <c r="G13" s="58"/>
      <c r="I13" s="20"/>
      <c r="J13" s="20"/>
      <c r="K13" s="20"/>
      <c r="L13" s="20"/>
      <c r="M13" s="20"/>
    </row>
    <row r="14" spans="1:13" ht="15.75" hidden="1">
      <c r="A14" s="1"/>
      <c r="B14" s="64"/>
      <c r="C14" s="57" t="s">
        <v>417</v>
      </c>
      <c r="D14" s="47"/>
      <c r="E14" s="47"/>
      <c r="F14" s="47"/>
      <c r="G14" s="58"/>
      <c r="I14" s="20"/>
      <c r="J14" s="20"/>
      <c r="K14" s="20"/>
      <c r="L14" s="20"/>
      <c r="M14" s="20"/>
    </row>
    <row r="15" spans="1:13" ht="15.75" hidden="1">
      <c r="A15" s="1"/>
      <c r="B15" s="64"/>
      <c r="C15" s="57" t="s">
        <v>418</v>
      </c>
      <c r="D15" s="47"/>
      <c r="E15" s="47"/>
      <c r="F15" s="47"/>
      <c r="G15" s="58"/>
      <c r="I15" s="20"/>
      <c r="J15" s="20"/>
      <c r="K15" s="20"/>
      <c r="L15" s="20"/>
      <c r="M15" s="20"/>
    </row>
    <row r="16" spans="1:13" ht="15.75" hidden="1">
      <c r="A16" s="1"/>
      <c r="B16" s="64"/>
      <c r="C16" s="57" t="s">
        <v>419</v>
      </c>
      <c r="D16" s="47"/>
      <c r="E16" s="47"/>
      <c r="F16" s="47"/>
      <c r="G16" s="58"/>
      <c r="I16" s="20"/>
      <c r="J16" s="20"/>
      <c r="K16" s="20"/>
      <c r="L16" s="20"/>
      <c r="M16" s="20"/>
    </row>
    <row r="17" spans="1:13" ht="15.75" hidden="1">
      <c r="A17" s="1"/>
      <c r="B17" s="64"/>
      <c r="C17" s="57" t="s">
        <v>421</v>
      </c>
      <c r="D17" s="47"/>
      <c r="E17" s="47"/>
      <c r="F17" s="47"/>
      <c r="G17" s="58"/>
      <c r="I17" s="20"/>
      <c r="J17" s="20"/>
      <c r="K17" s="20"/>
      <c r="L17" s="20"/>
      <c r="M17" s="20"/>
    </row>
    <row r="18" spans="1:13" ht="15.75" hidden="1">
      <c r="A18" s="1"/>
      <c r="B18" s="64"/>
      <c r="C18" s="57" t="s">
        <v>422</v>
      </c>
      <c r="D18" s="47"/>
      <c r="E18" s="47"/>
      <c r="F18" s="47"/>
      <c r="G18" s="58"/>
      <c r="I18" s="20"/>
      <c r="J18" s="20"/>
      <c r="K18" s="20"/>
      <c r="L18" s="20"/>
      <c r="M18" s="20"/>
    </row>
    <row r="19" spans="1:13" ht="15.75" hidden="1">
      <c r="A19" s="1"/>
      <c r="B19" s="64"/>
      <c r="C19" s="57" t="s">
        <v>423</v>
      </c>
      <c r="D19" s="47"/>
      <c r="E19" s="47"/>
      <c r="F19" s="47"/>
      <c r="G19" s="58"/>
      <c r="I19" s="20"/>
      <c r="J19" s="20"/>
      <c r="K19" s="20"/>
      <c r="L19" s="20"/>
      <c r="M19" s="20"/>
    </row>
    <row r="20" spans="1:13" ht="15.75" hidden="1">
      <c r="A20" s="1"/>
      <c r="B20" s="64"/>
      <c r="C20" s="57" t="s">
        <v>424</v>
      </c>
      <c r="D20" s="47"/>
      <c r="E20" s="47"/>
      <c r="F20" s="47"/>
      <c r="G20" s="58"/>
      <c r="I20" s="20"/>
      <c r="J20" s="20"/>
      <c r="K20" s="20"/>
      <c r="L20" s="20"/>
      <c r="M20" s="20"/>
    </row>
    <row r="21" spans="1:13" ht="15.75" hidden="1">
      <c r="A21" s="1"/>
      <c r="B21" s="64"/>
      <c r="C21" s="57" t="s">
        <v>425</v>
      </c>
      <c r="D21" s="47"/>
      <c r="E21" s="47"/>
      <c r="F21" s="47"/>
      <c r="G21" s="58"/>
      <c r="I21" s="20"/>
      <c r="J21" s="20"/>
      <c r="K21" s="20"/>
      <c r="L21" s="20"/>
      <c r="M21" s="20"/>
    </row>
    <row r="22" spans="1:13" s="67" customFormat="1" ht="15" customHeight="1">
      <c r="A22" s="15" t="s">
        <v>0</v>
      </c>
      <c r="B22" s="65" t="s">
        <v>195</v>
      </c>
      <c r="C22" s="65" t="s">
        <v>198</v>
      </c>
      <c r="D22" s="66">
        <v>956340</v>
      </c>
      <c r="E22" s="66"/>
      <c r="F22" s="66">
        <v>41500231000</v>
      </c>
      <c r="G22" s="60">
        <v>0.9041177262302228</v>
      </c>
      <c r="I22" s="68"/>
      <c r="J22" s="68"/>
      <c r="K22" s="68"/>
      <c r="L22" s="68"/>
      <c r="M22" s="68"/>
    </row>
    <row r="23" spans="1:12" ht="47.25">
      <c r="A23" s="1" t="s">
        <v>153</v>
      </c>
      <c r="B23" s="43" t="s">
        <v>199</v>
      </c>
      <c r="C23" s="44" t="s">
        <v>200</v>
      </c>
      <c r="D23" s="47" t="s">
        <v>0</v>
      </c>
      <c r="E23" s="47" t="s">
        <v>0</v>
      </c>
      <c r="F23" s="47" t="s">
        <v>0</v>
      </c>
      <c r="G23" s="58" t="s">
        <v>0</v>
      </c>
      <c r="I23" s="19"/>
      <c r="J23" s="19"/>
      <c r="K23" s="19"/>
      <c r="L23" s="19"/>
    </row>
    <row r="24" spans="1:12" ht="15" customHeight="1">
      <c r="A24" s="1" t="s">
        <v>72</v>
      </c>
      <c r="B24" s="44" t="s">
        <v>72</v>
      </c>
      <c r="C24" s="44" t="s">
        <v>72</v>
      </c>
      <c r="D24" s="47" t="s">
        <v>72</v>
      </c>
      <c r="E24" s="47" t="s">
        <v>72</v>
      </c>
      <c r="F24" s="47" t="s">
        <v>72</v>
      </c>
      <c r="G24" s="58" t="s">
        <v>72</v>
      </c>
      <c r="I24" s="19"/>
      <c r="J24" s="19"/>
      <c r="K24" s="19"/>
      <c r="L24" s="19"/>
    </row>
    <row r="25" spans="1:12" ht="15" customHeight="1">
      <c r="A25" s="1" t="s">
        <v>0</v>
      </c>
      <c r="B25" s="44" t="s">
        <v>195</v>
      </c>
      <c r="C25" s="44" t="s">
        <v>201</v>
      </c>
      <c r="D25" s="47" t="s">
        <v>0</v>
      </c>
      <c r="E25" s="47" t="s">
        <v>0</v>
      </c>
      <c r="F25" s="47" t="s">
        <v>0</v>
      </c>
      <c r="G25" s="58" t="s">
        <v>0</v>
      </c>
      <c r="I25" s="19"/>
      <c r="J25" s="19"/>
      <c r="K25" s="19"/>
      <c r="L25" s="19"/>
    </row>
    <row r="26" spans="1:12" ht="15" customHeight="1">
      <c r="A26" s="1" t="s">
        <v>202</v>
      </c>
      <c r="B26" s="44" t="s">
        <v>203</v>
      </c>
      <c r="C26" s="44" t="s">
        <v>204</v>
      </c>
      <c r="D26" s="47" t="s">
        <v>0</v>
      </c>
      <c r="E26" s="47" t="s">
        <v>0</v>
      </c>
      <c r="F26" s="47" t="s">
        <v>0</v>
      </c>
      <c r="G26" s="58" t="s">
        <v>0</v>
      </c>
      <c r="I26" s="19"/>
      <c r="J26" s="19"/>
      <c r="K26" s="19"/>
      <c r="L26" s="19"/>
    </row>
    <row r="27" spans="1:12" ht="15" customHeight="1">
      <c r="A27" s="1" t="s">
        <v>72</v>
      </c>
      <c r="B27" s="44" t="s">
        <v>72</v>
      </c>
      <c r="C27" s="44" t="s">
        <v>72</v>
      </c>
      <c r="D27" s="47" t="s">
        <v>72</v>
      </c>
      <c r="E27" s="47" t="s">
        <v>72</v>
      </c>
      <c r="F27" s="47" t="s">
        <v>72</v>
      </c>
      <c r="G27" s="58" t="s">
        <v>72</v>
      </c>
      <c r="I27" s="19"/>
      <c r="J27" s="19"/>
      <c r="K27" s="19"/>
      <c r="L27" s="19"/>
    </row>
    <row r="28" spans="1:13" s="67" customFormat="1" ht="15" customHeight="1">
      <c r="A28" s="15" t="s">
        <v>0</v>
      </c>
      <c r="B28" s="65" t="s">
        <v>195</v>
      </c>
      <c r="C28" s="65" t="s">
        <v>205</v>
      </c>
      <c r="D28" s="66"/>
      <c r="E28" s="66"/>
      <c r="F28" s="66"/>
      <c r="G28" s="60"/>
      <c r="I28" s="68"/>
      <c r="J28" s="68"/>
      <c r="K28" s="68"/>
      <c r="L28" s="68"/>
      <c r="M28" s="68"/>
    </row>
    <row r="29" spans="1:12" ht="15" customHeight="1">
      <c r="A29" s="1" t="s">
        <v>163</v>
      </c>
      <c r="B29" s="44" t="s">
        <v>206</v>
      </c>
      <c r="C29" s="44" t="s">
        <v>207</v>
      </c>
      <c r="D29" s="47" t="s">
        <v>0</v>
      </c>
      <c r="E29" s="47" t="s">
        <v>0</v>
      </c>
      <c r="F29" s="47" t="s">
        <v>0</v>
      </c>
      <c r="G29" s="58" t="s">
        <v>0</v>
      </c>
      <c r="I29" s="19"/>
      <c r="J29" s="19"/>
      <c r="K29" s="19"/>
      <c r="L29" s="19"/>
    </row>
    <row r="30" spans="1:12" ht="15" customHeight="1">
      <c r="A30" s="1" t="s">
        <v>72</v>
      </c>
      <c r="B30" s="44" t="s">
        <v>72</v>
      </c>
      <c r="C30" s="44" t="s">
        <v>72</v>
      </c>
      <c r="D30" s="47" t="s">
        <v>72</v>
      </c>
      <c r="E30" s="47" t="s">
        <v>72</v>
      </c>
      <c r="F30" s="47" t="s">
        <v>72</v>
      </c>
      <c r="G30" s="58" t="s">
        <v>72</v>
      </c>
      <c r="I30" s="19"/>
      <c r="J30" s="19"/>
      <c r="K30" s="19"/>
      <c r="L30" s="19"/>
    </row>
    <row r="31" spans="1:12" ht="15" customHeight="1">
      <c r="A31" s="1" t="s">
        <v>0</v>
      </c>
      <c r="B31" s="44" t="s">
        <v>427</v>
      </c>
      <c r="C31" s="44" t="s">
        <v>428</v>
      </c>
      <c r="D31" s="47"/>
      <c r="E31" s="47"/>
      <c r="F31" s="47"/>
      <c r="G31" s="58"/>
      <c r="I31" s="19"/>
      <c r="J31" s="19"/>
      <c r="K31" s="19"/>
      <c r="L31" s="19"/>
    </row>
    <row r="32" spans="1:12" ht="15" customHeight="1">
      <c r="A32" s="1" t="s">
        <v>0</v>
      </c>
      <c r="B32" s="44" t="s">
        <v>195</v>
      </c>
      <c r="C32" s="44" t="s">
        <v>208</v>
      </c>
      <c r="D32" s="47" t="s">
        <v>0</v>
      </c>
      <c r="E32" s="47" t="s">
        <v>0</v>
      </c>
      <c r="F32" s="66"/>
      <c r="G32" s="60"/>
      <c r="I32" s="19"/>
      <c r="J32" s="19"/>
      <c r="K32" s="19"/>
      <c r="L32" s="19"/>
    </row>
    <row r="33" spans="1:12" ht="15" customHeight="1">
      <c r="A33" s="1" t="s">
        <v>209</v>
      </c>
      <c r="B33" s="44" t="s">
        <v>210</v>
      </c>
      <c r="C33" s="44" t="s">
        <v>211</v>
      </c>
      <c r="D33" s="47" t="s">
        <v>0</v>
      </c>
      <c r="E33" s="47" t="s">
        <v>0</v>
      </c>
      <c r="F33" s="47" t="s">
        <v>0</v>
      </c>
      <c r="G33" s="58" t="s">
        <v>0</v>
      </c>
      <c r="I33" s="19"/>
      <c r="J33" s="19"/>
      <c r="K33" s="19"/>
      <c r="L33" s="19"/>
    </row>
    <row r="34" spans="1:12" ht="15" customHeight="1">
      <c r="A34" s="1" t="s">
        <v>72</v>
      </c>
      <c r="B34" s="44" t="s">
        <v>72</v>
      </c>
      <c r="C34" s="44" t="s">
        <v>72</v>
      </c>
      <c r="D34" s="47" t="s">
        <v>72</v>
      </c>
      <c r="E34" s="47" t="s">
        <v>72</v>
      </c>
      <c r="F34" s="47" t="s">
        <v>72</v>
      </c>
      <c r="G34" s="58" t="s">
        <v>72</v>
      </c>
      <c r="I34" s="19"/>
      <c r="J34" s="19"/>
      <c r="K34" s="19"/>
      <c r="L34" s="19"/>
    </row>
    <row r="35" spans="1:12" ht="15" customHeight="1">
      <c r="A35" s="1"/>
      <c r="B35" s="59" t="s">
        <v>409</v>
      </c>
      <c r="C35" s="44" t="s">
        <v>397</v>
      </c>
      <c r="D35" s="47"/>
      <c r="E35" s="47"/>
      <c r="F35" s="47"/>
      <c r="G35" s="58"/>
      <c r="I35" s="19"/>
      <c r="J35" s="19"/>
      <c r="K35" s="19"/>
      <c r="L35" s="19"/>
    </row>
    <row r="36" spans="1:13" ht="15" customHeight="1">
      <c r="A36" s="1"/>
      <c r="B36" s="44" t="s">
        <v>398</v>
      </c>
      <c r="C36" s="44" t="s">
        <v>399</v>
      </c>
      <c r="D36" s="47"/>
      <c r="E36" s="47"/>
      <c r="F36" s="47"/>
      <c r="G36" s="58"/>
      <c r="I36" s="7"/>
      <c r="J36" s="20"/>
      <c r="K36" s="20"/>
      <c r="L36" s="20"/>
      <c r="M36" s="20"/>
    </row>
    <row r="37" spans="1:13" ht="15" customHeight="1">
      <c r="A37" s="1"/>
      <c r="B37" s="44" t="s">
        <v>400</v>
      </c>
      <c r="C37" s="44" t="s">
        <v>401</v>
      </c>
      <c r="D37" s="47"/>
      <c r="E37" s="47"/>
      <c r="F37" s="47"/>
      <c r="G37" s="58"/>
      <c r="I37" s="7"/>
      <c r="J37" s="19"/>
      <c r="K37" s="19"/>
      <c r="L37" s="20"/>
      <c r="M37" s="20"/>
    </row>
    <row r="38" spans="1:13" ht="15" customHeight="1">
      <c r="A38" s="1"/>
      <c r="B38" s="44" t="s">
        <v>402</v>
      </c>
      <c r="C38" s="44" t="s">
        <v>403</v>
      </c>
      <c r="D38" s="47"/>
      <c r="E38" s="47"/>
      <c r="F38" s="47">
        <v>1657210000</v>
      </c>
      <c r="G38" s="58">
        <v>0.03610372523193877</v>
      </c>
      <c r="I38" s="7"/>
      <c r="J38" s="19"/>
      <c r="K38" s="19"/>
      <c r="L38" s="20"/>
      <c r="M38" s="20"/>
    </row>
    <row r="39" spans="1:13" ht="15" customHeight="1">
      <c r="A39" s="1"/>
      <c r="B39" s="44" t="s">
        <v>404</v>
      </c>
      <c r="C39" s="44" t="s">
        <v>405</v>
      </c>
      <c r="D39" s="47"/>
      <c r="E39" s="47"/>
      <c r="F39" s="47"/>
      <c r="G39" s="58"/>
      <c r="I39" s="7"/>
      <c r="J39" s="19"/>
      <c r="K39" s="19"/>
      <c r="L39" s="20"/>
      <c r="M39" s="20"/>
    </row>
    <row r="40" spans="1:13" ht="15" customHeight="1">
      <c r="A40" s="1"/>
      <c r="B40" s="44" t="s">
        <v>406</v>
      </c>
      <c r="C40" s="44" t="s">
        <v>407</v>
      </c>
      <c r="D40" s="47"/>
      <c r="E40" s="47"/>
      <c r="F40" s="47"/>
      <c r="G40" s="58"/>
      <c r="I40" s="7"/>
      <c r="J40" s="20"/>
      <c r="K40" s="20"/>
      <c r="L40" s="20"/>
      <c r="M40" s="20"/>
    </row>
    <row r="41" spans="1:13" ht="15" customHeight="1">
      <c r="A41" s="1" t="s">
        <v>0</v>
      </c>
      <c r="B41" s="44" t="s">
        <v>195</v>
      </c>
      <c r="C41" s="44" t="s">
        <v>212</v>
      </c>
      <c r="D41" s="47" t="s">
        <v>0</v>
      </c>
      <c r="E41" s="47" t="s">
        <v>0</v>
      </c>
      <c r="F41" s="47">
        <v>1657210000</v>
      </c>
      <c r="G41" s="58">
        <v>0.03610372523193877</v>
      </c>
      <c r="I41" s="7"/>
      <c r="J41" s="20"/>
      <c r="K41" s="20"/>
      <c r="L41" s="20"/>
      <c r="M41" s="20"/>
    </row>
    <row r="42" spans="1:13" ht="15" customHeight="1">
      <c r="A42" s="1" t="s">
        <v>213</v>
      </c>
      <c r="B42" s="44" t="s">
        <v>214</v>
      </c>
      <c r="C42" s="44" t="s">
        <v>215</v>
      </c>
      <c r="D42" s="47" t="s">
        <v>0</v>
      </c>
      <c r="E42" s="47" t="s">
        <v>0</v>
      </c>
      <c r="F42" s="47"/>
      <c r="G42" s="58" t="s">
        <v>0</v>
      </c>
      <c r="I42" s="7"/>
      <c r="J42" s="19"/>
      <c r="K42" s="19"/>
      <c r="L42" s="20"/>
      <c r="M42" s="20"/>
    </row>
    <row r="43" spans="1:13" ht="15" customHeight="1">
      <c r="A43" s="1" t="s">
        <v>9</v>
      </c>
      <c r="B43" s="44" t="s">
        <v>65</v>
      </c>
      <c r="C43" s="44" t="s">
        <v>216</v>
      </c>
      <c r="D43" s="47" t="s">
        <v>0</v>
      </c>
      <c r="E43" s="47" t="s">
        <v>0</v>
      </c>
      <c r="F43" s="47"/>
      <c r="G43" s="58"/>
      <c r="I43" s="7"/>
      <c r="J43" s="19"/>
      <c r="K43" s="19"/>
      <c r="L43" s="20"/>
      <c r="M43" s="20"/>
    </row>
    <row r="44" spans="1:13" ht="15" customHeight="1">
      <c r="A44" s="1" t="s">
        <v>12</v>
      </c>
      <c r="B44" s="44" t="s">
        <v>67</v>
      </c>
      <c r="C44" s="44" t="s">
        <v>217</v>
      </c>
      <c r="D44" s="47"/>
      <c r="E44" s="47"/>
      <c r="F44" s="47">
        <v>2743916529</v>
      </c>
      <c r="G44" s="58">
        <v>0.059778548537838386</v>
      </c>
      <c r="I44" s="7"/>
      <c r="J44" s="20"/>
      <c r="K44" s="20"/>
      <c r="L44" s="20"/>
      <c r="M44" s="20"/>
    </row>
    <row r="45" spans="1:13" ht="15" customHeight="1">
      <c r="A45" s="1" t="s">
        <v>72</v>
      </c>
      <c r="B45" s="44" t="s">
        <v>72</v>
      </c>
      <c r="C45" s="44" t="s">
        <v>72</v>
      </c>
      <c r="D45" s="47" t="s">
        <v>72</v>
      </c>
      <c r="E45" s="47" t="s">
        <v>72</v>
      </c>
      <c r="F45" s="47" t="s">
        <v>72</v>
      </c>
      <c r="G45" s="58" t="s">
        <v>72</v>
      </c>
      <c r="I45" s="7"/>
      <c r="J45" s="19"/>
      <c r="K45" s="19"/>
      <c r="L45" s="20"/>
      <c r="M45" s="20"/>
    </row>
    <row r="46" spans="1:13" ht="15" customHeight="1">
      <c r="A46" s="1" t="s">
        <v>0</v>
      </c>
      <c r="B46" s="44" t="s">
        <v>195</v>
      </c>
      <c r="C46" s="44" t="s">
        <v>218</v>
      </c>
      <c r="D46" s="47" t="s">
        <v>0</v>
      </c>
      <c r="E46" s="47" t="s">
        <v>0</v>
      </c>
      <c r="F46" s="47">
        <v>2743916529</v>
      </c>
      <c r="G46" s="58">
        <v>0.059778548537838386</v>
      </c>
      <c r="I46" s="7"/>
      <c r="J46" s="20"/>
      <c r="K46" s="20"/>
      <c r="L46" s="20"/>
      <c r="M46" s="20"/>
    </row>
    <row r="47" spans="1:13" s="67" customFormat="1" ht="15" customHeight="1">
      <c r="A47" s="15">
        <v>8</v>
      </c>
      <c r="B47" s="65" t="s">
        <v>219</v>
      </c>
      <c r="C47" s="65" t="s">
        <v>220</v>
      </c>
      <c r="D47" s="66"/>
      <c r="E47" s="66" t="s">
        <v>0</v>
      </c>
      <c r="F47" s="66">
        <v>45901357529</v>
      </c>
      <c r="G47" s="60">
        <v>1</v>
      </c>
      <c r="I47" s="69"/>
      <c r="J47" s="68"/>
      <c r="K47" s="68"/>
      <c r="L47" s="68"/>
      <c r="M47" s="68"/>
    </row>
  </sheetData>
  <sheetProtection/>
  <printOptions/>
  <pageMargins left="0.75" right="0.75" top="1" bottom="1" header="0.5" footer="0.5"/>
  <pageSetup fitToHeight="1" fitToWidth="1"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K21"/>
  <sheetViews>
    <sheetView zoomScalePageLayoutView="0" workbookViewId="0" topLeftCell="A1">
      <selection activeCell="H21" sqref="H21"/>
    </sheetView>
  </sheetViews>
  <sheetFormatPr defaultColWidth="9.140625" defaultRowHeight="12.75"/>
  <cols>
    <col min="1" max="1" width="6.8515625" style="0" customWidth="1"/>
    <col min="2" max="2" width="41.28125" style="0" customWidth="1"/>
    <col min="3" max="3" width="9.8515625" style="0" customWidth="1"/>
    <col min="4" max="4" width="14.140625" style="0" customWidth="1"/>
    <col min="5" max="5" width="19.421875" style="0" customWidth="1"/>
    <col min="6" max="6" width="15.421875" style="0" customWidth="1"/>
    <col min="7" max="7" width="17.8515625" style="0" customWidth="1"/>
    <col min="8" max="8" width="14.421875" style="0" customWidth="1"/>
    <col min="9" max="9" width="26.57421875" style="0" customWidth="1"/>
    <col min="10" max="10" width="14.421875" style="0" customWidth="1"/>
    <col min="11" max="11" width="26.8515625" style="0" customWidth="1"/>
  </cols>
  <sheetData>
    <row r="1" spans="1:11" ht="15" customHeight="1">
      <c r="A1" s="73" t="s">
        <v>6</v>
      </c>
      <c r="B1" s="73" t="s">
        <v>221</v>
      </c>
      <c r="C1" s="73" t="s">
        <v>55</v>
      </c>
      <c r="D1" s="73" t="s">
        <v>222</v>
      </c>
      <c r="E1" s="73" t="s">
        <v>223</v>
      </c>
      <c r="F1" s="73" t="s">
        <v>224</v>
      </c>
      <c r="G1" s="73" t="s">
        <v>225</v>
      </c>
      <c r="H1" s="73" t="s">
        <v>226</v>
      </c>
      <c r="I1" s="73"/>
      <c r="J1" s="73" t="s">
        <v>227</v>
      </c>
      <c r="K1" s="73"/>
    </row>
    <row r="2" spans="1:11" ht="15" customHeight="1">
      <c r="A2" s="73"/>
      <c r="B2" s="73"/>
      <c r="C2" s="73"/>
      <c r="D2" s="73"/>
      <c r="E2" s="73"/>
      <c r="F2" s="73"/>
      <c r="G2" s="73"/>
      <c r="H2" s="2" t="s">
        <v>228</v>
      </c>
      <c r="I2" s="2" t="s">
        <v>229</v>
      </c>
      <c r="J2" s="2" t="s">
        <v>230</v>
      </c>
      <c r="K2" s="2" t="s">
        <v>229</v>
      </c>
    </row>
    <row r="3" spans="1:11" ht="15" customHeight="1">
      <c r="A3" s="1" t="s">
        <v>9</v>
      </c>
      <c r="B3" s="1" t="s">
        <v>231</v>
      </c>
      <c r="C3" s="1" t="s">
        <v>232</v>
      </c>
      <c r="D3" s="1" t="s">
        <v>0</v>
      </c>
      <c r="E3" s="1" t="s">
        <v>0</v>
      </c>
      <c r="F3" s="1" t="s">
        <v>0</v>
      </c>
      <c r="G3" s="1" t="s">
        <v>0</v>
      </c>
      <c r="H3" s="1" t="s">
        <v>0</v>
      </c>
      <c r="I3" s="1" t="s">
        <v>0</v>
      </c>
      <c r="J3" s="1" t="s">
        <v>0</v>
      </c>
      <c r="K3" s="1" t="s">
        <v>0</v>
      </c>
    </row>
    <row r="4" spans="1:11" ht="15" customHeight="1">
      <c r="A4" s="1" t="s">
        <v>72</v>
      </c>
      <c r="B4" s="1" t="s">
        <v>72</v>
      </c>
      <c r="C4" s="1" t="s">
        <v>72</v>
      </c>
      <c r="D4" s="1" t="s">
        <v>72</v>
      </c>
      <c r="E4" s="1" t="s">
        <v>72</v>
      </c>
      <c r="F4" s="1" t="s">
        <v>72</v>
      </c>
      <c r="G4" s="1" t="s">
        <v>72</v>
      </c>
      <c r="H4" s="1" t="s">
        <v>72</v>
      </c>
      <c r="I4" s="1" t="s">
        <v>72</v>
      </c>
      <c r="J4" s="1" t="s">
        <v>72</v>
      </c>
      <c r="K4" s="1" t="s">
        <v>72</v>
      </c>
    </row>
    <row r="5" spans="1:11" ht="15" customHeight="1">
      <c r="A5" s="1"/>
      <c r="B5" s="1" t="s">
        <v>72</v>
      </c>
      <c r="C5" s="1"/>
      <c r="D5" s="1" t="s">
        <v>0</v>
      </c>
      <c r="E5" s="1" t="s">
        <v>0</v>
      </c>
      <c r="F5" s="1" t="s">
        <v>0</v>
      </c>
      <c r="G5" s="1" t="s">
        <v>0</v>
      </c>
      <c r="H5" s="1" t="s">
        <v>0</v>
      </c>
      <c r="I5" s="1" t="s">
        <v>0</v>
      </c>
      <c r="J5" s="1" t="s">
        <v>0</v>
      </c>
      <c r="K5" s="1" t="s">
        <v>0</v>
      </c>
    </row>
    <row r="6" spans="1:11" ht="15" customHeight="1">
      <c r="A6" s="1" t="s">
        <v>59</v>
      </c>
      <c r="B6" s="1" t="s">
        <v>233</v>
      </c>
      <c r="C6" s="1" t="s">
        <v>234</v>
      </c>
      <c r="D6" s="1" t="s">
        <v>0</v>
      </c>
      <c r="E6" s="1" t="s">
        <v>0</v>
      </c>
      <c r="F6" s="1" t="s">
        <v>0</v>
      </c>
      <c r="G6" s="1" t="s">
        <v>0</v>
      </c>
      <c r="H6" s="1" t="s">
        <v>0</v>
      </c>
      <c r="I6" s="1" t="s">
        <v>0</v>
      </c>
      <c r="J6" s="1" t="s">
        <v>0</v>
      </c>
      <c r="K6" s="1" t="s">
        <v>0</v>
      </c>
    </row>
    <row r="7" spans="1:11" ht="15" customHeight="1">
      <c r="A7" s="1" t="s">
        <v>12</v>
      </c>
      <c r="B7" s="1" t="s">
        <v>235</v>
      </c>
      <c r="C7" s="1" t="s">
        <v>236</v>
      </c>
      <c r="D7" s="1" t="s">
        <v>0</v>
      </c>
      <c r="E7" s="1" t="s">
        <v>0</v>
      </c>
      <c r="F7" s="1" t="s">
        <v>0</v>
      </c>
      <c r="G7" s="1" t="s">
        <v>0</v>
      </c>
      <c r="H7" s="1" t="s">
        <v>0</v>
      </c>
      <c r="I7" s="1" t="s">
        <v>0</v>
      </c>
      <c r="J7" s="1" t="s">
        <v>0</v>
      </c>
      <c r="K7" s="1" t="s">
        <v>0</v>
      </c>
    </row>
    <row r="8" spans="1:11" ht="15" customHeight="1">
      <c r="A8" s="1" t="s">
        <v>72</v>
      </c>
      <c r="B8" s="1" t="s">
        <v>72</v>
      </c>
      <c r="C8" s="1" t="s">
        <v>72</v>
      </c>
      <c r="D8" s="1" t="s">
        <v>72</v>
      </c>
      <c r="E8" s="1" t="s">
        <v>72</v>
      </c>
      <c r="F8" s="1" t="s">
        <v>72</v>
      </c>
      <c r="G8" s="1" t="s">
        <v>72</v>
      </c>
      <c r="H8" s="1" t="s">
        <v>72</v>
      </c>
      <c r="I8" s="1" t="s">
        <v>72</v>
      </c>
      <c r="J8" s="1" t="s">
        <v>72</v>
      </c>
      <c r="K8" s="1" t="s">
        <v>72</v>
      </c>
    </row>
    <row r="9" spans="1:11" ht="15" customHeight="1">
      <c r="A9" s="1"/>
      <c r="B9" s="1" t="s">
        <v>72</v>
      </c>
      <c r="C9" s="1"/>
      <c r="D9" s="1" t="s">
        <v>0</v>
      </c>
      <c r="E9" s="1" t="s">
        <v>0</v>
      </c>
      <c r="F9" s="1" t="s">
        <v>0</v>
      </c>
      <c r="G9" s="1" t="s">
        <v>0</v>
      </c>
      <c r="H9" s="1" t="s">
        <v>0</v>
      </c>
      <c r="I9" s="1" t="s">
        <v>0</v>
      </c>
      <c r="J9" s="1" t="s">
        <v>0</v>
      </c>
      <c r="K9" s="1" t="s">
        <v>0</v>
      </c>
    </row>
    <row r="10" spans="1:11" ht="15" customHeight="1">
      <c r="A10" s="1" t="s">
        <v>132</v>
      </c>
      <c r="B10" s="1" t="s">
        <v>237</v>
      </c>
      <c r="C10" s="1" t="s">
        <v>238</v>
      </c>
      <c r="D10" s="1" t="s">
        <v>0</v>
      </c>
      <c r="E10" s="1" t="s">
        <v>0</v>
      </c>
      <c r="F10" s="1" t="s">
        <v>0</v>
      </c>
      <c r="G10" s="1" t="s">
        <v>0</v>
      </c>
      <c r="H10" s="1" t="s">
        <v>0</v>
      </c>
      <c r="I10" s="1" t="s">
        <v>0</v>
      </c>
      <c r="J10" s="1" t="s">
        <v>0</v>
      </c>
      <c r="K10" s="1" t="s">
        <v>0</v>
      </c>
    </row>
    <row r="11" spans="1:11" ht="15" customHeight="1">
      <c r="A11" s="1" t="s">
        <v>239</v>
      </c>
      <c r="B11" s="1" t="s">
        <v>240</v>
      </c>
      <c r="C11" s="1" t="s">
        <v>241</v>
      </c>
      <c r="D11" s="1" t="s">
        <v>0</v>
      </c>
      <c r="E11" s="1" t="s">
        <v>0</v>
      </c>
      <c r="F11" s="1" t="s">
        <v>0</v>
      </c>
      <c r="G11" s="1" t="s">
        <v>0</v>
      </c>
      <c r="H11" s="1" t="s">
        <v>0</v>
      </c>
      <c r="I11" s="1" t="s">
        <v>0</v>
      </c>
      <c r="J11" s="1" t="s">
        <v>0</v>
      </c>
      <c r="K11" s="1" t="s">
        <v>0</v>
      </c>
    </row>
    <row r="12" spans="1:11" ht="15" customHeight="1">
      <c r="A12" s="1" t="s">
        <v>15</v>
      </c>
      <c r="B12" s="1" t="s">
        <v>242</v>
      </c>
      <c r="C12" s="1" t="s">
        <v>243</v>
      </c>
      <c r="D12" s="1" t="s">
        <v>0</v>
      </c>
      <c r="E12" s="1" t="s">
        <v>0</v>
      </c>
      <c r="F12" s="1" t="s">
        <v>0</v>
      </c>
      <c r="G12" s="1" t="s">
        <v>0</v>
      </c>
      <c r="H12" s="1" t="s">
        <v>0</v>
      </c>
      <c r="I12" s="1" t="s">
        <v>0</v>
      </c>
      <c r="J12" s="1" t="s">
        <v>0</v>
      </c>
      <c r="K12" s="1" t="s">
        <v>0</v>
      </c>
    </row>
    <row r="13" spans="1:11" ht="15" customHeight="1">
      <c r="A13" s="1" t="s">
        <v>72</v>
      </c>
      <c r="B13" s="1" t="s">
        <v>72</v>
      </c>
      <c r="C13" s="1" t="s">
        <v>72</v>
      </c>
      <c r="D13" s="1" t="s">
        <v>72</v>
      </c>
      <c r="E13" s="1" t="s">
        <v>72</v>
      </c>
      <c r="F13" s="1" t="s">
        <v>72</v>
      </c>
      <c r="G13" s="1" t="s">
        <v>72</v>
      </c>
      <c r="H13" s="1" t="s">
        <v>72</v>
      </c>
      <c r="I13" s="1" t="s">
        <v>72</v>
      </c>
      <c r="J13" s="1" t="s">
        <v>72</v>
      </c>
      <c r="K13" s="1" t="s">
        <v>72</v>
      </c>
    </row>
    <row r="14" spans="1:11" ht="15" customHeight="1">
      <c r="A14" s="1"/>
      <c r="B14" s="1" t="s">
        <v>72</v>
      </c>
      <c r="C14" s="1"/>
      <c r="D14" s="1" t="s">
        <v>0</v>
      </c>
      <c r="E14" s="1" t="s">
        <v>0</v>
      </c>
      <c r="F14" s="1" t="s">
        <v>0</v>
      </c>
      <c r="G14" s="1" t="s">
        <v>0</v>
      </c>
      <c r="H14" s="1" t="s">
        <v>0</v>
      </c>
      <c r="I14" s="1" t="s">
        <v>0</v>
      </c>
      <c r="J14" s="1" t="s">
        <v>0</v>
      </c>
      <c r="K14" s="1" t="s">
        <v>0</v>
      </c>
    </row>
    <row r="15" spans="1:11" ht="15" customHeight="1">
      <c r="A15" s="1" t="s">
        <v>153</v>
      </c>
      <c r="B15" s="1" t="s">
        <v>244</v>
      </c>
      <c r="C15" s="1" t="s">
        <v>245</v>
      </c>
      <c r="D15" s="1" t="s">
        <v>0</v>
      </c>
      <c r="E15" s="1" t="s">
        <v>0</v>
      </c>
      <c r="F15" s="1" t="s">
        <v>0</v>
      </c>
      <c r="G15" s="1" t="s">
        <v>0</v>
      </c>
      <c r="H15" s="1" t="s">
        <v>0</v>
      </c>
      <c r="I15" s="1" t="s">
        <v>0</v>
      </c>
      <c r="J15" s="1" t="s">
        <v>0</v>
      </c>
      <c r="K15" s="1" t="s">
        <v>0</v>
      </c>
    </row>
    <row r="16" spans="1:11" ht="15" customHeight="1">
      <c r="A16" s="1" t="s">
        <v>18</v>
      </c>
      <c r="B16" s="1" t="s">
        <v>246</v>
      </c>
      <c r="C16" s="1" t="s">
        <v>247</v>
      </c>
      <c r="D16" s="1" t="s">
        <v>0</v>
      </c>
      <c r="E16" s="1" t="s">
        <v>0</v>
      </c>
      <c r="F16" s="1" t="s">
        <v>0</v>
      </c>
      <c r="G16" s="1" t="s">
        <v>0</v>
      </c>
      <c r="H16" s="1" t="s">
        <v>0</v>
      </c>
      <c r="I16" s="1" t="s">
        <v>0</v>
      </c>
      <c r="J16" s="1" t="s">
        <v>0</v>
      </c>
      <c r="K16" s="1" t="s">
        <v>0</v>
      </c>
    </row>
    <row r="17" spans="1:11" ht="15" customHeight="1">
      <c r="A17" s="1" t="s">
        <v>72</v>
      </c>
      <c r="B17" s="1" t="s">
        <v>72</v>
      </c>
      <c r="C17" s="1" t="s">
        <v>72</v>
      </c>
      <c r="D17" s="1" t="s">
        <v>72</v>
      </c>
      <c r="E17" s="1" t="s">
        <v>72</v>
      </c>
      <c r="F17" s="1" t="s">
        <v>72</v>
      </c>
      <c r="G17" s="1" t="s">
        <v>72</v>
      </c>
      <c r="H17" s="1" t="s">
        <v>72</v>
      </c>
      <c r="I17" s="1" t="s">
        <v>72</v>
      </c>
      <c r="J17" s="1" t="s">
        <v>72</v>
      </c>
      <c r="K17" s="1" t="s">
        <v>72</v>
      </c>
    </row>
    <row r="18" spans="1:11" ht="15" customHeight="1">
      <c r="A18" s="1"/>
      <c r="B18" s="1" t="s">
        <v>72</v>
      </c>
      <c r="C18" s="1"/>
      <c r="D18" s="1" t="s">
        <v>0</v>
      </c>
      <c r="E18" s="1" t="s">
        <v>0</v>
      </c>
      <c r="F18" s="1" t="s">
        <v>0</v>
      </c>
      <c r="G18" s="1" t="s">
        <v>0</v>
      </c>
      <c r="H18" s="1" t="s">
        <v>0</v>
      </c>
      <c r="I18" s="1" t="s">
        <v>0</v>
      </c>
      <c r="J18" s="1" t="s">
        <v>0</v>
      </c>
      <c r="K18" s="1" t="s">
        <v>0</v>
      </c>
    </row>
    <row r="19" spans="1:11" ht="15" customHeight="1">
      <c r="A19" s="1" t="s">
        <v>156</v>
      </c>
      <c r="B19" s="1" t="s">
        <v>248</v>
      </c>
      <c r="C19" s="1" t="s">
        <v>249</v>
      </c>
      <c r="D19" s="1" t="s">
        <v>0</v>
      </c>
      <c r="E19" s="1" t="s">
        <v>0</v>
      </c>
      <c r="F19" s="1" t="s">
        <v>0</v>
      </c>
      <c r="G19" s="1" t="s">
        <v>0</v>
      </c>
      <c r="H19" s="1" t="s">
        <v>0</v>
      </c>
      <c r="I19" s="1" t="s">
        <v>0</v>
      </c>
      <c r="J19" s="1" t="s">
        <v>0</v>
      </c>
      <c r="K19" s="1" t="s">
        <v>0</v>
      </c>
    </row>
    <row r="20" spans="1:11" ht="15" customHeight="1">
      <c r="A20" s="1" t="s">
        <v>250</v>
      </c>
      <c r="B20" s="1" t="s">
        <v>251</v>
      </c>
      <c r="C20" s="1" t="s">
        <v>252</v>
      </c>
      <c r="D20" s="1" t="s">
        <v>0</v>
      </c>
      <c r="E20" s="1" t="s">
        <v>0</v>
      </c>
      <c r="F20" s="1" t="s">
        <v>0</v>
      </c>
      <c r="G20" s="1" t="s">
        <v>0</v>
      </c>
      <c r="H20" s="1" t="s">
        <v>0</v>
      </c>
      <c r="I20" s="1" t="s">
        <v>0</v>
      </c>
      <c r="J20" s="1" t="s">
        <v>0</v>
      </c>
      <c r="K20" s="1" t="s">
        <v>0</v>
      </c>
    </row>
    <row r="21" spans="1:11" ht="15" customHeight="1">
      <c r="A21" s="3"/>
      <c r="B21" s="3"/>
      <c r="C21" s="3"/>
      <c r="D21" s="3"/>
      <c r="E21" s="3"/>
      <c r="F21" s="3"/>
      <c r="G21" s="3"/>
      <c r="H21" s="3"/>
      <c r="I21" s="3"/>
      <c r="J21" s="3"/>
      <c r="K21" s="3"/>
    </row>
  </sheetData>
  <sheetProtection/>
  <mergeCells count="9">
    <mergeCell ref="G1:G2"/>
    <mergeCell ref="H1:I1"/>
    <mergeCell ref="J1:K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28"/>
  <sheetViews>
    <sheetView zoomScalePageLayoutView="0" workbookViewId="0" topLeftCell="A1">
      <selection activeCell="H11" sqref="H11"/>
    </sheetView>
  </sheetViews>
  <sheetFormatPr defaultColWidth="9.140625" defaultRowHeight="12.75"/>
  <cols>
    <col min="1" max="1" width="6.8515625" style="0" customWidth="1"/>
    <col min="2" max="2" width="62.00390625" style="0" customWidth="1"/>
    <col min="3" max="3" width="10.28125" style="0" customWidth="1"/>
    <col min="4" max="4" width="28.57421875" style="0" customWidth="1"/>
    <col min="5" max="5" width="28.140625" style="0" customWidth="1"/>
    <col min="6" max="6" width="15.57421875" style="7" bestFit="1" customWidth="1"/>
    <col min="8" max="8" width="10.140625" style="0" bestFit="1" customWidth="1"/>
    <col min="9" max="9" width="15.00390625" style="0" bestFit="1" customWidth="1"/>
    <col min="10" max="10" width="7.8515625" style="0" bestFit="1" customWidth="1"/>
    <col min="11" max="11" width="17.7109375" style="0" bestFit="1" customWidth="1"/>
    <col min="12" max="12" width="19.28125" style="0" bestFit="1" customWidth="1"/>
    <col min="13" max="13" width="16.421875" style="0" bestFit="1" customWidth="1"/>
    <col min="17" max="18" width="17.7109375" style="0" bestFit="1" customWidth="1"/>
  </cols>
  <sheetData>
    <row r="1" spans="1:14" ht="15" customHeight="1">
      <c r="A1" s="2" t="s">
        <v>6</v>
      </c>
      <c r="B1" s="2" t="s">
        <v>122</v>
      </c>
      <c r="C1" s="2" t="s">
        <v>55</v>
      </c>
      <c r="D1" s="2" t="s">
        <v>56</v>
      </c>
      <c r="E1" s="2" t="s">
        <v>57</v>
      </c>
      <c r="H1" s="31"/>
      <c r="I1" s="32"/>
      <c r="J1" s="31"/>
      <c r="K1" s="32"/>
      <c r="L1" s="32"/>
      <c r="M1" s="32"/>
      <c r="N1" s="32"/>
    </row>
    <row r="2" spans="1:18" ht="15" customHeight="1">
      <c r="A2" s="4" t="s">
        <v>59</v>
      </c>
      <c r="B2" s="4" t="s">
        <v>253</v>
      </c>
      <c r="C2" s="4" t="s">
        <v>217</v>
      </c>
      <c r="D2" s="4" t="s">
        <v>0</v>
      </c>
      <c r="E2" s="4" t="s">
        <v>0</v>
      </c>
      <c r="H2" s="33"/>
      <c r="I2" s="32"/>
      <c r="J2" s="32"/>
      <c r="K2" s="32"/>
      <c r="L2" s="42"/>
      <c r="M2" s="35"/>
      <c r="N2" s="31"/>
      <c r="Q2" s="7"/>
      <c r="R2" s="7"/>
    </row>
    <row r="3" spans="1:14" ht="31.5">
      <c r="A3" s="1" t="s">
        <v>9</v>
      </c>
      <c r="B3" s="9" t="s">
        <v>254</v>
      </c>
      <c r="C3" s="1" t="s">
        <v>255</v>
      </c>
      <c r="D3" s="58">
        <v>0.01500584066386594</v>
      </c>
      <c r="E3" s="58">
        <v>0.015005692385293612</v>
      </c>
      <c r="H3" s="70"/>
      <c r="I3" s="32"/>
      <c r="J3" s="32"/>
      <c r="K3" s="32"/>
      <c r="L3" s="41"/>
      <c r="N3" s="17"/>
    </row>
    <row r="4" spans="1:14" ht="31.5">
      <c r="A4" s="1" t="s">
        <v>12</v>
      </c>
      <c r="B4" s="9" t="s">
        <v>256</v>
      </c>
      <c r="C4" s="1" t="s">
        <v>257</v>
      </c>
      <c r="D4" s="58">
        <v>0.0027898456612845688</v>
      </c>
      <c r="E4" s="58">
        <v>0.002891115027525311</v>
      </c>
      <c r="H4" s="70"/>
      <c r="I4" s="32"/>
      <c r="J4" s="32"/>
      <c r="K4" s="32"/>
      <c r="L4" s="34"/>
      <c r="N4" s="17"/>
    </row>
    <row r="5" spans="1:14" ht="47.25">
      <c r="A5" s="1" t="s">
        <v>15</v>
      </c>
      <c r="B5" s="9" t="s">
        <v>258</v>
      </c>
      <c r="C5" s="1" t="s">
        <v>259</v>
      </c>
      <c r="D5" s="58">
        <v>0.004275765329672953</v>
      </c>
      <c r="E5" s="58">
        <v>0.004403049310193554</v>
      </c>
      <c r="H5" s="70"/>
      <c r="I5" s="32"/>
      <c r="J5" s="32"/>
      <c r="K5" s="32"/>
      <c r="L5" s="41"/>
      <c r="N5" s="17"/>
    </row>
    <row r="6" spans="1:14" ht="31.5">
      <c r="A6" s="1" t="s">
        <v>18</v>
      </c>
      <c r="B6" s="9" t="s">
        <v>260</v>
      </c>
      <c r="C6" s="1" t="s">
        <v>261</v>
      </c>
      <c r="D6" s="58">
        <v>0.0024418929485610285</v>
      </c>
      <c r="E6" s="58">
        <v>0.014925280429721704</v>
      </c>
      <c r="H6" s="70"/>
      <c r="I6" s="32"/>
      <c r="J6" s="32"/>
      <c r="K6" s="32"/>
      <c r="L6" s="41"/>
      <c r="N6" s="17"/>
    </row>
    <row r="7" spans="1:14" ht="31.5">
      <c r="A7" s="1" t="s">
        <v>21</v>
      </c>
      <c r="B7" s="9" t="s">
        <v>262</v>
      </c>
      <c r="C7" s="1" t="s">
        <v>263</v>
      </c>
      <c r="D7" s="58">
        <v>0</v>
      </c>
      <c r="E7" s="58">
        <v>0</v>
      </c>
      <c r="H7" s="70"/>
      <c r="I7" s="32"/>
      <c r="J7" s="32"/>
      <c r="K7" s="32"/>
      <c r="L7" s="41"/>
      <c r="N7" s="17"/>
    </row>
    <row r="8" spans="1:12" ht="31.5">
      <c r="A8" s="1" t="s">
        <v>24</v>
      </c>
      <c r="B8" s="9" t="s">
        <v>264</v>
      </c>
      <c r="C8" s="1" t="s">
        <v>265</v>
      </c>
      <c r="D8" s="58">
        <v>0</v>
      </c>
      <c r="E8" s="58">
        <v>0</v>
      </c>
      <c r="H8" s="70"/>
      <c r="I8" s="32"/>
      <c r="J8" s="32"/>
      <c r="K8" s="32"/>
      <c r="L8" s="32"/>
    </row>
    <row r="9" spans="1:8" ht="47.25">
      <c r="A9" s="1" t="s">
        <v>27</v>
      </c>
      <c r="B9" s="9" t="s">
        <v>266</v>
      </c>
      <c r="C9" s="1" t="s">
        <v>267</v>
      </c>
      <c r="D9" s="58">
        <v>0.0038870593906117756</v>
      </c>
      <c r="E9" s="58">
        <v>0.004002772100175959</v>
      </c>
      <c r="H9" s="70"/>
    </row>
    <row r="10" spans="1:8" ht="15" customHeight="1">
      <c r="A10" s="1" t="s">
        <v>30</v>
      </c>
      <c r="B10" s="9" t="s">
        <v>268</v>
      </c>
      <c r="C10" s="1" t="s">
        <v>269</v>
      </c>
      <c r="D10" s="58">
        <v>0.03540184170751313</v>
      </c>
      <c r="E10" s="58">
        <v>0.052392895375928554</v>
      </c>
      <c r="H10" s="70"/>
    </row>
    <row r="11" spans="1:8" ht="15" customHeight="1">
      <c r="A11" s="1" t="s">
        <v>33</v>
      </c>
      <c r="B11" s="9" t="s">
        <v>270</v>
      </c>
      <c r="C11" s="1" t="s">
        <v>232</v>
      </c>
      <c r="D11" s="58">
        <v>2.3977727513792435</v>
      </c>
      <c r="E11" s="58">
        <v>3.327508062713738</v>
      </c>
      <c r="H11" s="70"/>
    </row>
    <row r="12" spans="1:8" ht="62.25" customHeight="1">
      <c r="A12" s="1" t="s">
        <v>36</v>
      </c>
      <c r="B12" s="10" t="s">
        <v>271</v>
      </c>
      <c r="C12" s="1" t="s">
        <v>272</v>
      </c>
      <c r="D12" s="58">
        <v>0.029378662822204464</v>
      </c>
      <c r="E12" s="58">
        <v>-0.35621828522543275</v>
      </c>
      <c r="H12" s="70"/>
    </row>
    <row r="13" spans="1:8" ht="15" customHeight="1">
      <c r="A13" s="4" t="s">
        <v>132</v>
      </c>
      <c r="B13" s="11" t="s">
        <v>273</v>
      </c>
      <c r="C13" s="4" t="s">
        <v>274</v>
      </c>
      <c r="D13" s="60" t="s">
        <v>0</v>
      </c>
      <c r="E13" s="60"/>
      <c r="H13" s="70"/>
    </row>
    <row r="14" spans="1:8" ht="15" customHeight="1">
      <c r="A14" s="1" t="s">
        <v>9</v>
      </c>
      <c r="B14" s="9" t="s">
        <v>275</v>
      </c>
      <c r="C14" s="1" t="s">
        <v>276</v>
      </c>
      <c r="D14" s="61" t="s">
        <v>0</v>
      </c>
      <c r="E14" s="61"/>
      <c r="H14" s="70"/>
    </row>
    <row r="15" spans="1:8" ht="15" customHeight="1">
      <c r="A15" s="1" t="s">
        <v>0</v>
      </c>
      <c r="B15" s="9" t="s">
        <v>277</v>
      </c>
      <c r="C15" s="1" t="s">
        <v>278</v>
      </c>
      <c r="D15" s="54">
        <v>44888942671</v>
      </c>
      <c r="E15" s="54">
        <v>46420173417</v>
      </c>
      <c r="H15" s="70"/>
    </row>
    <row r="16" spans="1:8" ht="15" customHeight="1">
      <c r="A16" s="1" t="s">
        <v>0</v>
      </c>
      <c r="B16" s="9" t="s">
        <v>279</v>
      </c>
      <c r="C16" s="1" t="s">
        <v>280</v>
      </c>
      <c r="D16" s="54">
        <v>5000000</v>
      </c>
      <c r="E16" s="54">
        <v>5000000</v>
      </c>
      <c r="H16" s="70"/>
    </row>
    <row r="17" spans="1:8" ht="15" customHeight="1">
      <c r="A17" s="1" t="s">
        <v>12</v>
      </c>
      <c r="B17" s="9" t="s">
        <v>281</v>
      </c>
      <c r="C17" s="1" t="s">
        <v>282</v>
      </c>
      <c r="D17" s="54"/>
      <c r="E17" s="54"/>
      <c r="H17" s="70"/>
    </row>
    <row r="18" spans="1:8" ht="15" customHeight="1">
      <c r="A18" s="1" t="s">
        <v>0</v>
      </c>
      <c r="B18" s="9" t="s">
        <v>283</v>
      </c>
      <c r="C18" s="1" t="s">
        <v>284</v>
      </c>
      <c r="D18" s="54"/>
      <c r="E18" s="54"/>
      <c r="H18" s="70"/>
    </row>
    <row r="19" spans="1:8" ht="15" customHeight="1">
      <c r="A19" s="1" t="s">
        <v>0</v>
      </c>
      <c r="B19" s="9" t="s">
        <v>285</v>
      </c>
      <c r="C19" s="1" t="s">
        <v>286</v>
      </c>
      <c r="D19" s="54"/>
      <c r="E19" s="54"/>
      <c r="H19" s="70"/>
    </row>
    <row r="20" spans="1:8" ht="15" customHeight="1">
      <c r="A20" s="1" t="s">
        <v>15</v>
      </c>
      <c r="B20" s="9" t="s">
        <v>287</v>
      </c>
      <c r="C20" s="1" t="s">
        <v>288</v>
      </c>
      <c r="D20" s="54"/>
      <c r="E20" s="54"/>
      <c r="H20" s="70"/>
    </row>
    <row r="21" spans="1:8" ht="15" customHeight="1">
      <c r="A21" s="1" t="s">
        <v>0</v>
      </c>
      <c r="B21" s="9" t="s">
        <v>277</v>
      </c>
      <c r="C21" s="1" t="s">
        <v>289</v>
      </c>
      <c r="D21" s="54">
        <v>44865699475</v>
      </c>
      <c r="E21" s="54">
        <v>44888942671</v>
      </c>
      <c r="H21" s="70"/>
    </row>
    <row r="22" spans="1:8" ht="15.75">
      <c r="A22" s="1" t="s">
        <v>0</v>
      </c>
      <c r="B22" s="9" t="s">
        <v>290</v>
      </c>
      <c r="C22" s="1" t="s">
        <v>291</v>
      </c>
      <c r="D22" s="56">
        <v>5000000</v>
      </c>
      <c r="E22" s="56">
        <v>5000000</v>
      </c>
      <c r="H22" s="70"/>
    </row>
    <row r="23" spans="1:8" ht="31.5">
      <c r="A23" s="1" t="s">
        <v>18</v>
      </c>
      <c r="B23" s="9" t="s">
        <v>292</v>
      </c>
      <c r="C23" s="1" t="s">
        <v>293</v>
      </c>
      <c r="D23" s="62">
        <v>0.00042</v>
      </c>
      <c r="E23" s="62">
        <v>0.00042</v>
      </c>
      <c r="H23" s="70"/>
    </row>
    <row r="24" spans="1:8" ht="31.5">
      <c r="A24" s="1" t="s">
        <v>21</v>
      </c>
      <c r="B24" s="9" t="s">
        <v>294</v>
      </c>
      <c r="C24" s="1" t="s">
        <v>295</v>
      </c>
      <c r="D24" s="58">
        <v>0.9038</v>
      </c>
      <c r="E24" s="58">
        <v>0.9059</v>
      </c>
      <c r="H24" s="70"/>
    </row>
    <row r="25" spans="1:8" ht="31.5">
      <c r="A25" s="1" t="s">
        <v>24</v>
      </c>
      <c r="B25" s="9" t="s">
        <v>296</v>
      </c>
      <c r="C25" s="1" t="s">
        <v>297</v>
      </c>
      <c r="D25" s="58">
        <v>0.0211</v>
      </c>
      <c r="E25" s="58">
        <v>0.021</v>
      </c>
      <c r="H25" s="70"/>
    </row>
    <row r="26" spans="1:8" ht="15.75">
      <c r="A26" s="1" t="s">
        <v>27</v>
      </c>
      <c r="B26" s="9" t="s">
        <v>298</v>
      </c>
      <c r="C26" s="1" t="s">
        <v>299</v>
      </c>
      <c r="D26" s="45">
        <v>8973.13</v>
      </c>
      <c r="E26" s="63">
        <v>8977.78</v>
      </c>
      <c r="H26" s="70"/>
    </row>
    <row r="27" spans="1:8" ht="31.5">
      <c r="A27" s="1" t="s">
        <v>30</v>
      </c>
      <c r="B27" s="9" t="s">
        <v>300</v>
      </c>
      <c r="C27" s="1" t="s">
        <v>301</v>
      </c>
      <c r="D27" s="46">
        <v>6390</v>
      </c>
      <c r="E27" s="54">
        <v>6800</v>
      </c>
      <c r="H27" s="70"/>
    </row>
    <row r="28" spans="1:8" ht="31.5">
      <c r="A28" s="1" t="s">
        <v>33</v>
      </c>
      <c r="B28" s="9" t="s">
        <v>302</v>
      </c>
      <c r="C28" s="1" t="s">
        <v>234</v>
      </c>
      <c r="D28" s="54">
        <v>376</v>
      </c>
      <c r="E28" s="56">
        <v>369</v>
      </c>
      <c r="H28" s="70"/>
    </row>
  </sheetData>
  <sheetProtection/>
  <printOptions/>
  <pageMargins left="0.75" right="0.75" top="1" bottom="1" header="0.5" footer="0.5"/>
  <pageSetup fitToHeight="1" fitToWidth="1"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21"/>
  <sheetViews>
    <sheetView zoomScalePageLayoutView="0" workbookViewId="0" topLeftCell="A1">
      <selection activeCell="G21" sqref="G21"/>
    </sheetView>
  </sheetViews>
  <sheetFormatPr defaultColWidth="9.140625" defaultRowHeight="12.75"/>
  <cols>
    <col min="1" max="1" width="6.8515625" style="0" customWidth="1"/>
    <col min="2" max="2" width="54.7109375" style="0" customWidth="1"/>
    <col min="3" max="3" width="11.57421875" style="0" customWidth="1"/>
    <col min="4" max="4" width="35.00390625" style="0" customWidth="1"/>
    <col min="5" max="5" width="18.421875" style="0" customWidth="1"/>
    <col min="6" max="6" width="20.57421875" style="0" customWidth="1"/>
    <col min="7" max="7" width="22.28125" style="0" customWidth="1"/>
  </cols>
  <sheetData>
    <row r="1" spans="1:7" ht="15" customHeight="1">
      <c r="A1" s="73" t="s">
        <v>6</v>
      </c>
      <c r="B1" s="73" t="s">
        <v>303</v>
      </c>
      <c r="C1" s="73" t="s">
        <v>55</v>
      </c>
      <c r="D1" s="73" t="s">
        <v>304</v>
      </c>
      <c r="E1" s="73" t="s">
        <v>305</v>
      </c>
      <c r="F1" s="73"/>
      <c r="G1" s="73"/>
    </row>
    <row r="2" spans="1:7" ht="15" customHeight="1">
      <c r="A2" s="73"/>
      <c r="B2" s="73"/>
      <c r="C2" s="73"/>
      <c r="D2" s="73"/>
      <c r="E2" s="2" t="s">
        <v>306</v>
      </c>
      <c r="F2" s="2" t="s">
        <v>307</v>
      </c>
      <c r="G2" s="2" t="s">
        <v>308</v>
      </c>
    </row>
    <row r="3" spans="1:7" ht="15" customHeight="1">
      <c r="A3" s="1" t="s">
        <v>59</v>
      </c>
      <c r="B3" s="1" t="s">
        <v>309</v>
      </c>
      <c r="C3" s="1" t="s">
        <v>310</v>
      </c>
      <c r="D3" s="1" t="s">
        <v>311</v>
      </c>
      <c r="E3" s="1" t="s">
        <v>0</v>
      </c>
      <c r="F3" s="1" t="s">
        <v>0</v>
      </c>
      <c r="G3" s="1" t="s">
        <v>0</v>
      </c>
    </row>
    <row r="4" spans="1:7" ht="15" customHeight="1">
      <c r="A4" s="1" t="s">
        <v>72</v>
      </c>
      <c r="B4" s="1" t="s">
        <v>72</v>
      </c>
      <c r="C4" s="1" t="s">
        <v>72</v>
      </c>
      <c r="D4" s="1" t="s">
        <v>72</v>
      </c>
      <c r="E4" s="1" t="s">
        <v>72</v>
      </c>
      <c r="F4" s="1" t="s">
        <v>72</v>
      </c>
      <c r="G4" s="1" t="s">
        <v>72</v>
      </c>
    </row>
    <row r="5" spans="1:7" ht="15" customHeight="1">
      <c r="A5" s="1"/>
      <c r="B5" s="1" t="s">
        <v>72</v>
      </c>
      <c r="C5" s="1"/>
      <c r="D5" s="1" t="s">
        <v>0</v>
      </c>
      <c r="E5" s="1" t="s">
        <v>0</v>
      </c>
      <c r="F5" s="1" t="s">
        <v>0</v>
      </c>
      <c r="G5" s="1" t="s">
        <v>0</v>
      </c>
    </row>
    <row r="6" spans="1:7" ht="15" customHeight="1">
      <c r="A6" s="1" t="s">
        <v>132</v>
      </c>
      <c r="B6" s="1" t="s">
        <v>312</v>
      </c>
      <c r="C6" s="1" t="s">
        <v>313</v>
      </c>
      <c r="D6" s="1" t="s">
        <v>0</v>
      </c>
      <c r="E6" s="1" t="s">
        <v>0</v>
      </c>
      <c r="F6" s="1" t="s">
        <v>0</v>
      </c>
      <c r="G6" s="1" t="s">
        <v>0</v>
      </c>
    </row>
    <row r="7" spans="1:7" ht="15" customHeight="1">
      <c r="A7" s="1" t="s">
        <v>72</v>
      </c>
      <c r="B7" s="1" t="s">
        <v>72</v>
      </c>
      <c r="C7" s="1" t="s">
        <v>72</v>
      </c>
      <c r="D7" s="1" t="s">
        <v>72</v>
      </c>
      <c r="E7" s="1">
        <v>0</v>
      </c>
      <c r="F7" s="1" t="s">
        <v>72</v>
      </c>
      <c r="G7" s="1" t="s">
        <v>72</v>
      </c>
    </row>
    <row r="8" spans="1:7" ht="15" customHeight="1">
      <c r="A8" s="1"/>
      <c r="B8" s="1" t="s">
        <v>72</v>
      </c>
      <c r="C8" s="1"/>
      <c r="D8" s="1" t="s">
        <v>0</v>
      </c>
      <c r="E8" s="1" t="s">
        <v>0</v>
      </c>
      <c r="F8" s="1" t="s">
        <v>0</v>
      </c>
      <c r="G8" s="1" t="s">
        <v>0</v>
      </c>
    </row>
    <row r="9" spans="1:7" ht="15" customHeight="1">
      <c r="A9" s="1" t="s">
        <v>153</v>
      </c>
      <c r="B9" s="1" t="s">
        <v>314</v>
      </c>
      <c r="C9" s="1" t="s">
        <v>315</v>
      </c>
      <c r="D9" s="1" t="s">
        <v>0</v>
      </c>
      <c r="E9" s="1" t="s">
        <v>0</v>
      </c>
      <c r="F9" s="1" t="s">
        <v>0</v>
      </c>
      <c r="G9" s="1" t="s">
        <v>0</v>
      </c>
    </row>
    <row r="10" spans="1:7" ht="15" customHeight="1">
      <c r="A10" s="1" t="s">
        <v>72</v>
      </c>
      <c r="B10" s="1" t="s">
        <v>72</v>
      </c>
      <c r="C10" s="1" t="s">
        <v>72</v>
      </c>
      <c r="D10" s="1" t="s">
        <v>72</v>
      </c>
      <c r="E10" s="1" t="s">
        <v>72</v>
      </c>
      <c r="F10" s="1" t="s">
        <v>72</v>
      </c>
      <c r="G10" s="1" t="s">
        <v>72</v>
      </c>
    </row>
    <row r="11" spans="1:7" ht="15" customHeight="1">
      <c r="A11" s="1"/>
      <c r="B11" s="1" t="s">
        <v>72</v>
      </c>
      <c r="C11" s="1"/>
      <c r="D11" s="1" t="s">
        <v>0</v>
      </c>
      <c r="E11" s="1" t="s">
        <v>0</v>
      </c>
      <c r="F11" s="1" t="s">
        <v>0</v>
      </c>
      <c r="G11" s="1" t="s">
        <v>0</v>
      </c>
    </row>
    <row r="12" spans="1:7" ht="15" customHeight="1">
      <c r="A12" s="1" t="s">
        <v>156</v>
      </c>
      <c r="B12" s="1" t="s">
        <v>316</v>
      </c>
      <c r="C12" s="1" t="s">
        <v>317</v>
      </c>
      <c r="D12" s="1" t="s">
        <v>0</v>
      </c>
      <c r="E12" s="1" t="s">
        <v>0</v>
      </c>
      <c r="F12" s="1" t="s">
        <v>0</v>
      </c>
      <c r="G12" s="1" t="s">
        <v>0</v>
      </c>
    </row>
    <row r="13" spans="1:7" ht="15" customHeight="1">
      <c r="A13" s="1" t="s">
        <v>72</v>
      </c>
      <c r="B13" s="1" t="s">
        <v>72</v>
      </c>
      <c r="C13" s="1" t="s">
        <v>72</v>
      </c>
      <c r="D13" s="1" t="s">
        <v>72</v>
      </c>
      <c r="E13" s="1">
        <v>0</v>
      </c>
      <c r="F13" s="1" t="s">
        <v>72</v>
      </c>
      <c r="G13" s="1" t="s">
        <v>72</v>
      </c>
    </row>
    <row r="14" spans="1:7" ht="15" customHeight="1">
      <c r="A14" s="1"/>
      <c r="B14" s="1" t="s">
        <v>72</v>
      </c>
      <c r="C14" s="1"/>
      <c r="D14" s="1"/>
      <c r="E14" s="1"/>
      <c r="F14" s="1"/>
      <c r="G14" s="1"/>
    </row>
    <row r="15" spans="1:7" ht="15" customHeight="1">
      <c r="A15" s="1" t="s">
        <v>163</v>
      </c>
      <c r="B15" s="1" t="s">
        <v>318</v>
      </c>
      <c r="C15" s="1" t="s">
        <v>319</v>
      </c>
      <c r="D15" s="1" t="s">
        <v>0</v>
      </c>
      <c r="E15" s="1" t="s">
        <v>0</v>
      </c>
      <c r="F15" s="1" t="s">
        <v>0</v>
      </c>
      <c r="G15" s="1" t="s">
        <v>0</v>
      </c>
    </row>
    <row r="16" spans="1:7" ht="15" customHeight="1">
      <c r="A16" s="1" t="s">
        <v>72</v>
      </c>
      <c r="B16" s="1" t="s">
        <v>72</v>
      </c>
      <c r="C16" s="1" t="s">
        <v>72</v>
      </c>
      <c r="D16" s="1" t="s">
        <v>72</v>
      </c>
      <c r="E16" s="1" t="s">
        <v>72</v>
      </c>
      <c r="F16" s="1" t="s">
        <v>72</v>
      </c>
      <c r="G16" s="1" t="s">
        <v>72</v>
      </c>
    </row>
    <row r="17" spans="1:7" ht="15" customHeight="1">
      <c r="A17" s="1"/>
      <c r="B17" s="1" t="s">
        <v>72</v>
      </c>
      <c r="C17" s="1"/>
      <c r="D17" s="1"/>
      <c r="E17" s="1"/>
      <c r="F17" s="1"/>
      <c r="G17" s="1"/>
    </row>
    <row r="18" spans="1:7" ht="15" customHeight="1">
      <c r="A18" s="1" t="s">
        <v>166</v>
      </c>
      <c r="B18" s="1" t="s">
        <v>320</v>
      </c>
      <c r="C18" s="1" t="s">
        <v>321</v>
      </c>
      <c r="D18" s="1" t="s">
        <v>0</v>
      </c>
      <c r="E18" s="1" t="s">
        <v>0</v>
      </c>
      <c r="F18" s="1" t="s">
        <v>0</v>
      </c>
      <c r="G18" s="1" t="s">
        <v>0</v>
      </c>
    </row>
    <row r="19" spans="1:7" ht="15" customHeight="1">
      <c r="A19" s="1" t="s">
        <v>72</v>
      </c>
      <c r="B19" s="1" t="s">
        <v>72</v>
      </c>
      <c r="C19" s="1" t="s">
        <v>72</v>
      </c>
      <c r="D19" s="1" t="s">
        <v>72</v>
      </c>
      <c r="E19" s="1" t="s">
        <v>72</v>
      </c>
      <c r="F19" s="1" t="s">
        <v>72</v>
      </c>
      <c r="G19" s="1" t="s">
        <v>72</v>
      </c>
    </row>
    <row r="20" spans="1:7" ht="15" customHeight="1">
      <c r="A20" s="1"/>
      <c r="B20" s="1" t="s">
        <v>72</v>
      </c>
      <c r="C20" s="1"/>
      <c r="D20" s="1"/>
      <c r="E20" s="1"/>
      <c r="F20" s="1"/>
      <c r="G20" s="1"/>
    </row>
    <row r="21" spans="1:7" ht="15" customHeight="1">
      <c r="A21" s="3" t="s">
        <v>0</v>
      </c>
      <c r="B21" s="3" t="s">
        <v>0</v>
      </c>
      <c r="C21" s="3" t="s">
        <v>0</v>
      </c>
      <c r="D21" s="3" t="s">
        <v>0</v>
      </c>
      <c r="E21" s="3" t="s">
        <v>0</v>
      </c>
      <c r="F21" s="3" t="s">
        <v>0</v>
      </c>
      <c r="G21" s="3" t="s">
        <v>0</v>
      </c>
    </row>
  </sheetData>
  <sheetProtection/>
  <mergeCells count="5">
    <mergeCell ref="E1:G1"/>
    <mergeCell ref="D1:D2"/>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14"/>
  <sheetViews>
    <sheetView zoomScalePageLayoutView="0" workbookViewId="0" topLeftCell="A1">
      <selection activeCell="D27" sqref="D27"/>
    </sheetView>
  </sheetViews>
  <sheetFormatPr defaultColWidth="9.140625" defaultRowHeight="12.75"/>
  <cols>
    <col min="1" max="1" width="6.8515625" style="0" customWidth="1"/>
    <col min="2" max="2" width="45.00390625" style="0" customWidth="1"/>
    <col min="3" max="3" width="12.7109375" style="0" customWidth="1"/>
    <col min="4" max="4" width="20.8515625" style="0" customWidth="1"/>
    <col min="5" max="5" width="19.421875" style="0" customWidth="1"/>
  </cols>
  <sheetData>
    <row r="1" spans="1:5" ht="15" customHeight="1">
      <c r="A1" s="73" t="s">
        <v>6</v>
      </c>
      <c r="B1" s="73" t="s">
        <v>122</v>
      </c>
      <c r="C1" s="73" t="s">
        <v>55</v>
      </c>
      <c r="D1" s="73" t="s">
        <v>322</v>
      </c>
      <c r="E1" s="73"/>
    </row>
    <row r="2" spans="1:5" ht="15" customHeight="1">
      <c r="A2" s="73"/>
      <c r="B2" s="73"/>
      <c r="C2" s="73"/>
      <c r="D2" s="2" t="s">
        <v>323</v>
      </c>
      <c r="E2" s="2" t="s">
        <v>324</v>
      </c>
    </row>
    <row r="3" spans="1:5" ht="15" customHeight="1">
      <c r="A3" s="1" t="s">
        <v>59</v>
      </c>
      <c r="B3" s="1" t="s">
        <v>325</v>
      </c>
      <c r="C3" s="1" t="s">
        <v>315</v>
      </c>
      <c r="D3" s="1" t="s">
        <v>311</v>
      </c>
      <c r="E3" s="1"/>
    </row>
    <row r="4" spans="1:5" ht="15" customHeight="1">
      <c r="A4" s="1" t="s">
        <v>72</v>
      </c>
      <c r="B4" s="1" t="s">
        <v>72</v>
      </c>
      <c r="C4" s="1" t="s">
        <v>72</v>
      </c>
      <c r="D4" s="1" t="s">
        <v>72</v>
      </c>
      <c r="E4" s="1" t="s">
        <v>72</v>
      </c>
    </row>
    <row r="5" spans="1:5" ht="15" customHeight="1">
      <c r="A5" s="1" t="s">
        <v>311</v>
      </c>
      <c r="B5" s="1" t="s">
        <v>72</v>
      </c>
      <c r="C5" s="1"/>
      <c r="D5" s="1"/>
      <c r="E5" s="1"/>
    </row>
    <row r="6" spans="1:5" ht="15" customHeight="1">
      <c r="A6" s="1" t="s">
        <v>132</v>
      </c>
      <c r="B6" s="1" t="s">
        <v>326</v>
      </c>
      <c r="C6" s="1" t="s">
        <v>317</v>
      </c>
      <c r="D6" s="1"/>
      <c r="E6" s="1"/>
    </row>
    <row r="7" spans="1:5" ht="15" customHeight="1">
      <c r="A7" s="1" t="s">
        <v>72</v>
      </c>
      <c r="B7" s="1" t="s">
        <v>72</v>
      </c>
      <c r="C7" s="1" t="s">
        <v>72</v>
      </c>
      <c r="D7" s="1" t="s">
        <v>72</v>
      </c>
      <c r="E7" s="1" t="s">
        <v>72</v>
      </c>
    </row>
    <row r="8" spans="1:5" ht="15" customHeight="1">
      <c r="A8" s="1" t="s">
        <v>311</v>
      </c>
      <c r="B8" s="1" t="s">
        <v>72</v>
      </c>
      <c r="C8" s="1"/>
      <c r="D8" s="1"/>
      <c r="E8" s="1"/>
    </row>
    <row r="9" spans="1:5" ht="15" customHeight="1">
      <c r="A9" s="1" t="s">
        <v>153</v>
      </c>
      <c r="B9" s="1" t="s">
        <v>327</v>
      </c>
      <c r="C9" s="1" t="s">
        <v>319</v>
      </c>
      <c r="D9" s="1"/>
      <c r="E9" s="1"/>
    </row>
    <row r="10" spans="1:5" ht="15" customHeight="1">
      <c r="A10" s="1" t="s">
        <v>72</v>
      </c>
      <c r="B10" s="1" t="s">
        <v>72</v>
      </c>
      <c r="C10" s="1" t="s">
        <v>72</v>
      </c>
      <c r="D10" s="1" t="s">
        <v>72</v>
      </c>
      <c r="E10" s="1" t="s">
        <v>72</v>
      </c>
    </row>
    <row r="11" spans="1:5" ht="15" customHeight="1">
      <c r="A11" s="1" t="s">
        <v>311</v>
      </c>
      <c r="B11" s="1" t="s">
        <v>72</v>
      </c>
      <c r="C11" s="1"/>
      <c r="D11" s="1"/>
      <c r="E11" s="1"/>
    </row>
    <row r="12" spans="1:5" ht="15" customHeight="1">
      <c r="A12" s="1" t="s">
        <v>156</v>
      </c>
      <c r="B12" s="1" t="s">
        <v>328</v>
      </c>
      <c r="C12" s="1" t="s">
        <v>321</v>
      </c>
      <c r="D12" s="1"/>
      <c r="E12" s="1"/>
    </row>
    <row r="13" spans="1:5" ht="15" customHeight="1">
      <c r="A13" s="1" t="s">
        <v>72</v>
      </c>
      <c r="B13" s="1" t="s">
        <v>72</v>
      </c>
      <c r="C13" s="1" t="s">
        <v>72</v>
      </c>
      <c r="D13" s="1" t="s">
        <v>72</v>
      </c>
      <c r="E13" s="1" t="s">
        <v>72</v>
      </c>
    </row>
    <row r="14" spans="1:5" ht="15" customHeight="1">
      <c r="A14" s="1" t="s">
        <v>311</v>
      </c>
      <c r="B14" s="1" t="s">
        <v>72</v>
      </c>
      <c r="C14" s="1"/>
      <c r="D14" s="1"/>
      <c r="E14" s="1"/>
    </row>
  </sheetData>
  <sheetProtection/>
  <mergeCells count="4">
    <mergeCell ref="A1:A2"/>
    <mergeCell ref="B1:B2"/>
    <mergeCell ref="D1:E1"/>
    <mergeCell ref="C1:C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H19"/>
  <sheetViews>
    <sheetView zoomScalePageLayoutView="0" workbookViewId="0" topLeftCell="A1">
      <selection activeCell="A1" sqref="A1:A2"/>
    </sheetView>
  </sheetViews>
  <sheetFormatPr defaultColWidth="9.140625" defaultRowHeight="12.75"/>
  <cols>
    <col min="1" max="1" width="6.8515625" style="0" customWidth="1"/>
    <col min="2" max="2" width="41.421875" style="0" customWidth="1"/>
    <col min="3" max="3" width="12.140625" style="0" customWidth="1"/>
    <col min="4" max="6" width="18.28125" style="0" customWidth="1"/>
    <col min="7" max="7" width="21.28125" style="0" customWidth="1"/>
    <col min="8" max="8" width="27.8515625" style="0" customWidth="1"/>
  </cols>
  <sheetData>
    <row r="1" spans="1:8" ht="15" customHeight="1">
      <c r="A1" s="73" t="s">
        <v>6</v>
      </c>
      <c r="B1" s="73" t="s">
        <v>60</v>
      </c>
      <c r="C1" s="73" t="s">
        <v>55</v>
      </c>
      <c r="D1" s="73" t="s">
        <v>56</v>
      </c>
      <c r="E1" s="73"/>
      <c r="F1" s="73" t="s">
        <v>57</v>
      </c>
      <c r="G1" s="73"/>
      <c r="H1" s="73" t="s">
        <v>58</v>
      </c>
    </row>
    <row r="2" spans="1:8" ht="15" customHeight="1">
      <c r="A2" s="73"/>
      <c r="B2" s="73"/>
      <c r="C2" s="73"/>
      <c r="D2" s="2" t="s">
        <v>323</v>
      </c>
      <c r="E2" s="2" t="s">
        <v>329</v>
      </c>
      <c r="F2" s="2" t="s">
        <v>323</v>
      </c>
      <c r="G2" s="2" t="s">
        <v>329</v>
      </c>
      <c r="H2" s="73"/>
    </row>
    <row r="3" spans="1:8" ht="15" customHeight="1">
      <c r="A3" s="1" t="s">
        <v>62</v>
      </c>
      <c r="B3" s="1" t="s">
        <v>63</v>
      </c>
      <c r="C3" s="1" t="s">
        <v>315</v>
      </c>
      <c r="D3" s="1"/>
      <c r="E3" s="1"/>
      <c r="F3" s="1"/>
      <c r="G3" s="1"/>
      <c r="H3" s="1"/>
    </row>
    <row r="4" spans="1:8" ht="15" customHeight="1">
      <c r="A4" s="1" t="s">
        <v>311</v>
      </c>
      <c r="B4" s="1" t="s">
        <v>330</v>
      </c>
      <c r="C4" s="1" t="s">
        <v>317</v>
      </c>
      <c r="D4" s="1"/>
      <c r="E4" s="1"/>
      <c r="F4" s="1"/>
      <c r="G4" s="1"/>
      <c r="H4" s="1"/>
    </row>
    <row r="5" spans="1:8" ht="15" customHeight="1">
      <c r="A5" s="1" t="s">
        <v>311</v>
      </c>
      <c r="B5" s="1" t="s">
        <v>67</v>
      </c>
      <c r="C5" s="1" t="s">
        <v>319</v>
      </c>
      <c r="D5" s="1"/>
      <c r="E5" s="1"/>
      <c r="F5" s="1"/>
      <c r="G5" s="1"/>
      <c r="H5" s="1"/>
    </row>
    <row r="6" spans="1:8" ht="15" customHeight="1">
      <c r="A6" s="1" t="s">
        <v>311</v>
      </c>
      <c r="B6" s="1" t="s">
        <v>331</v>
      </c>
      <c r="C6" s="1" t="s">
        <v>321</v>
      </c>
      <c r="D6" s="1" t="s">
        <v>311</v>
      </c>
      <c r="E6" s="1"/>
      <c r="F6" s="1"/>
      <c r="G6" s="1"/>
      <c r="H6" s="1"/>
    </row>
    <row r="7" spans="1:8" ht="15" customHeight="1">
      <c r="A7" s="1" t="s">
        <v>69</v>
      </c>
      <c r="B7" s="1" t="s">
        <v>70</v>
      </c>
      <c r="C7" s="1" t="s">
        <v>332</v>
      </c>
      <c r="D7" s="1"/>
      <c r="E7" s="1"/>
      <c r="F7" s="1"/>
      <c r="G7" s="1"/>
      <c r="H7" s="1"/>
    </row>
    <row r="8" spans="1:8" ht="15" customHeight="1">
      <c r="A8" s="1" t="s">
        <v>72</v>
      </c>
      <c r="B8" s="1" t="s">
        <v>72</v>
      </c>
      <c r="C8" s="1" t="s">
        <v>72</v>
      </c>
      <c r="D8" s="1" t="s">
        <v>72</v>
      </c>
      <c r="E8" s="1" t="s">
        <v>72</v>
      </c>
      <c r="F8" s="1" t="s">
        <v>72</v>
      </c>
      <c r="G8" s="1" t="s">
        <v>72</v>
      </c>
      <c r="H8" s="1" t="s">
        <v>72</v>
      </c>
    </row>
    <row r="9" spans="1:8" ht="15" customHeight="1">
      <c r="A9" s="1" t="s">
        <v>73</v>
      </c>
      <c r="B9" s="1" t="s">
        <v>77</v>
      </c>
      <c r="C9" s="1" t="s">
        <v>313</v>
      </c>
      <c r="D9" s="1"/>
      <c r="E9" s="1"/>
      <c r="F9" s="1"/>
      <c r="G9" s="1"/>
      <c r="H9" s="1"/>
    </row>
    <row r="10" spans="1:8" ht="15" customHeight="1">
      <c r="A10" s="1" t="s">
        <v>76</v>
      </c>
      <c r="B10" s="1" t="s">
        <v>80</v>
      </c>
      <c r="C10" s="1" t="s">
        <v>333</v>
      </c>
      <c r="D10" s="1"/>
      <c r="E10" s="1"/>
      <c r="F10" s="1"/>
      <c r="G10" s="1"/>
      <c r="H10" s="1"/>
    </row>
    <row r="11" spans="1:8" ht="15" customHeight="1">
      <c r="A11" s="1" t="s">
        <v>334</v>
      </c>
      <c r="B11" s="1" t="s">
        <v>86</v>
      </c>
      <c r="C11" s="1" t="s">
        <v>335</v>
      </c>
      <c r="D11" s="1"/>
      <c r="E11" s="1"/>
      <c r="F11" s="1"/>
      <c r="G11" s="1"/>
      <c r="H11" s="1"/>
    </row>
    <row r="12" spans="1:8" ht="15" customHeight="1">
      <c r="A12" s="1" t="s">
        <v>72</v>
      </c>
      <c r="B12" s="1" t="s">
        <v>72</v>
      </c>
      <c r="C12" s="1" t="s">
        <v>72</v>
      </c>
      <c r="D12" s="1" t="s">
        <v>72</v>
      </c>
      <c r="E12" s="1" t="s">
        <v>72</v>
      </c>
      <c r="F12" s="1" t="s">
        <v>72</v>
      </c>
      <c r="G12" s="1" t="s">
        <v>72</v>
      </c>
      <c r="H12" s="1" t="s">
        <v>72</v>
      </c>
    </row>
    <row r="13" spans="1:8" ht="15" customHeight="1">
      <c r="A13" s="1" t="s">
        <v>82</v>
      </c>
      <c r="B13" s="1" t="s">
        <v>89</v>
      </c>
      <c r="C13" s="1" t="s">
        <v>336</v>
      </c>
      <c r="D13" s="1"/>
      <c r="E13" s="1"/>
      <c r="F13" s="1"/>
      <c r="G13" s="1"/>
      <c r="H13" s="1"/>
    </row>
    <row r="14" spans="1:8" ht="15" customHeight="1">
      <c r="A14" s="1" t="s">
        <v>337</v>
      </c>
      <c r="B14" s="1" t="s">
        <v>92</v>
      </c>
      <c r="C14" s="1" t="s">
        <v>338</v>
      </c>
      <c r="D14" s="1"/>
      <c r="E14" s="1"/>
      <c r="F14" s="1"/>
      <c r="G14" s="1"/>
      <c r="H14" s="1"/>
    </row>
    <row r="15" spans="1:8" ht="15" customHeight="1">
      <c r="A15" s="1" t="s">
        <v>339</v>
      </c>
      <c r="B15" s="1" t="s">
        <v>95</v>
      </c>
      <c r="C15" s="1" t="s">
        <v>340</v>
      </c>
      <c r="D15" s="1"/>
      <c r="E15" s="1"/>
      <c r="F15" s="1"/>
      <c r="G15" s="1"/>
      <c r="H15" s="1"/>
    </row>
    <row r="16" spans="1:8" ht="15" customHeight="1">
      <c r="A16" s="4"/>
      <c r="B16" s="4" t="s">
        <v>98</v>
      </c>
      <c r="C16" s="1" t="s">
        <v>341</v>
      </c>
      <c r="D16" s="4"/>
      <c r="E16" s="4"/>
      <c r="F16" s="4"/>
      <c r="G16" s="4"/>
      <c r="H16" s="4"/>
    </row>
    <row r="17" spans="1:8" ht="15" customHeight="1">
      <c r="A17" s="1" t="s">
        <v>342</v>
      </c>
      <c r="B17" s="1" t="s">
        <v>104</v>
      </c>
      <c r="C17" s="1" t="s">
        <v>343</v>
      </c>
      <c r="D17" s="1"/>
      <c r="E17" s="1"/>
      <c r="F17" s="1"/>
      <c r="G17" s="1"/>
      <c r="H17" s="1"/>
    </row>
    <row r="18" spans="1:8" ht="15" customHeight="1">
      <c r="A18" s="1" t="s">
        <v>344</v>
      </c>
      <c r="B18" s="1" t="s">
        <v>111</v>
      </c>
      <c r="C18" s="1" t="s">
        <v>345</v>
      </c>
      <c r="D18" s="1"/>
      <c r="E18" s="1"/>
      <c r="F18" s="1"/>
      <c r="G18" s="1"/>
      <c r="H18" s="1"/>
    </row>
    <row r="19" spans="1:8" ht="15" customHeight="1">
      <c r="A19" s="1" t="s">
        <v>346</v>
      </c>
      <c r="B19" s="1" t="s">
        <v>114</v>
      </c>
      <c r="C19" s="1" t="s">
        <v>347</v>
      </c>
      <c r="D19" s="1"/>
      <c r="E19" s="1"/>
      <c r="F19" s="1"/>
      <c r="G19" s="1"/>
      <c r="H19" s="1"/>
    </row>
  </sheetData>
  <sheetProtection/>
  <mergeCells count="6">
    <mergeCell ref="A1:A2"/>
    <mergeCell ref="B1:B2"/>
    <mergeCell ref="D1:E1"/>
    <mergeCell ref="F1:G1"/>
    <mergeCell ref="H1:H2"/>
    <mergeCell ref="C1:C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NGUYEN THI MY DUNG</cp:lastModifiedBy>
  <dcterms:created xsi:type="dcterms:W3CDTF">2021-07-31T08:13:23Z</dcterms:created>
  <dcterms:modified xsi:type="dcterms:W3CDTF">2024-08-05T10:55:48Z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